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7590"/>
  </bookViews>
  <sheets>
    <sheet name="Лист1" sheetId="1" r:id="rId1"/>
  </sheets>
  <definedNames>
    <definedName name="_xlnm.Print_Area" localSheetId="0">Лист1!$B$1:$L$97</definedName>
  </definedNames>
  <calcPr calcId="144525"/>
</workbook>
</file>

<file path=xl/calcChain.xml><?xml version="1.0" encoding="utf-8"?>
<calcChain xmlns="http://schemas.openxmlformats.org/spreadsheetml/2006/main">
  <c r="L40" i="1" l="1"/>
  <c r="L76" i="1"/>
  <c r="K46" i="1"/>
  <c r="J37" i="1"/>
  <c r="K37" i="1"/>
  <c r="J51" i="1" l="1"/>
  <c r="K51" i="1"/>
  <c r="J46" i="1" l="1"/>
  <c r="J63" i="1"/>
  <c r="K40" i="1"/>
  <c r="K31" i="1" l="1"/>
  <c r="J24" i="1"/>
  <c r="J23" i="1"/>
  <c r="L23" i="1" l="1"/>
  <c r="K23" i="1" s="1"/>
  <c r="J69" i="1" l="1"/>
  <c r="J48" i="1" l="1"/>
  <c r="J61" i="1" l="1"/>
  <c r="J60" i="1"/>
  <c r="J56" i="1"/>
  <c r="J29" i="1"/>
  <c r="I54" i="1" l="1"/>
  <c r="I79" i="1"/>
  <c r="I78" i="1"/>
  <c r="L78" i="1"/>
  <c r="J74" i="1"/>
  <c r="J77" i="1"/>
  <c r="K76" i="1"/>
  <c r="J76" i="1"/>
  <c r="L37" i="1"/>
  <c r="J25" i="1"/>
  <c r="J27" i="1"/>
  <c r="L51" i="1" l="1"/>
  <c r="K41" i="1"/>
  <c r="I45" i="1" l="1"/>
  <c r="L84" i="1"/>
  <c r="J84" i="1"/>
  <c r="J73" i="1" s="1"/>
  <c r="J22" i="1" l="1"/>
  <c r="J59" i="1" l="1"/>
  <c r="J58" i="1"/>
  <c r="K55" i="1" l="1"/>
  <c r="K53" i="1" l="1"/>
  <c r="J53" i="1"/>
  <c r="J36" i="1" l="1"/>
  <c r="J64" i="1" l="1"/>
  <c r="I64" i="1" s="1"/>
  <c r="L38" i="1" l="1"/>
  <c r="I38" i="1"/>
  <c r="L31" i="1" l="1"/>
  <c r="I31" i="1"/>
  <c r="L41" i="1" l="1"/>
  <c r="J62" i="1"/>
  <c r="J68" i="1"/>
  <c r="J35" i="1"/>
  <c r="I83" i="1" l="1"/>
  <c r="I82" i="1"/>
  <c r="K84" i="1"/>
  <c r="I84" i="1" l="1"/>
  <c r="K73" i="1"/>
  <c r="L46" i="1"/>
  <c r="K52" i="1"/>
  <c r="I32" i="1" l="1"/>
  <c r="I36" i="1" l="1"/>
  <c r="L63" i="1" l="1"/>
  <c r="L55" i="1" s="1"/>
  <c r="J49" i="1" l="1"/>
  <c r="I34" i="1"/>
  <c r="J33" i="1"/>
  <c r="L73" i="1" l="1"/>
  <c r="I41" i="1" l="1"/>
  <c r="K47" i="1" l="1"/>
  <c r="L47" i="1" s="1"/>
  <c r="I81" i="1" l="1"/>
  <c r="I80" i="1"/>
  <c r="I77" i="1"/>
  <c r="I76" i="1"/>
  <c r="I74" i="1"/>
  <c r="I73" i="1" s="1"/>
  <c r="I75" i="1"/>
  <c r="J70" i="1"/>
  <c r="J72" i="1"/>
  <c r="J55" i="1"/>
  <c r="I51" i="1"/>
  <c r="J50" i="1"/>
  <c r="K42" i="1"/>
  <c r="I49" i="1"/>
  <c r="I47" i="1"/>
  <c r="I40" i="1"/>
  <c r="K39" i="1"/>
  <c r="J39" i="1"/>
  <c r="L21" i="1"/>
  <c r="J21" i="1" l="1"/>
  <c r="I46" i="1"/>
  <c r="J65" i="1"/>
  <c r="I33" i="1"/>
  <c r="I50" i="1"/>
  <c r="I68" i="1"/>
  <c r="I37" i="1"/>
  <c r="I48" i="1"/>
  <c r="I67" i="1"/>
  <c r="I22" i="1"/>
  <c r="I72" i="1"/>
  <c r="I71" i="1"/>
  <c r="I70" i="1"/>
  <c r="I69" i="1"/>
  <c r="I66" i="1"/>
  <c r="L65" i="1"/>
  <c r="K65" i="1"/>
  <c r="I63" i="1"/>
  <c r="I62" i="1"/>
  <c r="I61" i="1"/>
  <c r="I60" i="1"/>
  <c r="I59" i="1"/>
  <c r="I58" i="1"/>
  <c r="I57" i="1"/>
  <c r="I56" i="1"/>
  <c r="I53" i="1"/>
  <c r="I52" i="1"/>
  <c r="I42" i="1"/>
  <c r="I39" i="1"/>
  <c r="I35" i="1"/>
  <c r="I30" i="1"/>
  <c r="I29" i="1"/>
  <c r="I28" i="1"/>
  <c r="I27" i="1"/>
  <c r="I26" i="1"/>
  <c r="I25" i="1"/>
  <c r="I24" i="1"/>
  <c r="I23" i="1" l="1"/>
  <c r="I21" i="1" s="1"/>
  <c r="K21" i="1"/>
  <c r="K85" i="1" s="1"/>
  <c r="I65" i="1"/>
  <c r="I55" i="1"/>
  <c r="J85" i="1"/>
  <c r="L85" i="1"/>
  <c r="I85" i="1" l="1"/>
</calcChain>
</file>

<file path=xl/comments1.xml><?xml version="1.0" encoding="utf-8"?>
<comments xmlns="http://schemas.openxmlformats.org/spreadsheetml/2006/main">
  <authors>
    <author>20230629</author>
  </authors>
  <commentList>
    <comment ref="F44" authorId="0">
      <text>
        <r>
          <rPr>
            <b/>
            <sz val="9"/>
            <color indexed="81"/>
            <rFont val="Tahoma"/>
            <family val="2"/>
            <charset val="204"/>
          </rPr>
          <t>20230629: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<sst xmlns="http://schemas.openxmlformats.org/spreadsheetml/2006/main" count="341" uniqueCount="265">
  <si>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</si>
  <si>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</si>
  <si>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</si>
  <si>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</si>
  <si>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</si>
  <si>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</si>
  <si>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</si>
  <si>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</si>
  <si>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</si>
  <si>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</si>
  <si>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</si>
  <si>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</si>
  <si>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</si>
  <si>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</si>
  <si>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</si>
  <si>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</si>
  <si>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</si>
  <si>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</si>
  <si>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</si>
  <si>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</si>
  <si>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</si>
  <si>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</si>
  <si>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</si>
  <si>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</si>
  <si>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</si>
  <si>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</si>
  <si>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</si>
  <si>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</si>
  <si>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</si>
  <si>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</si>
  <si>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</si>
  <si>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</si>
  <si>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</si>
  <si>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</si>
  <si>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</si>
  <si>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</si>
  <si>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</si>
  <si>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</si>
  <si>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</si>
  <si>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</si>
  <si>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</si>
  <si>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</si>
  <si>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</si>
  <si>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</si>
  <si>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</si>
  <si>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</si>
  <si>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</si>
  <si>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</si>
  <si>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</si>
  <si>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</si>
  <si>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</si>
  <si>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</si>
  <si>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</si>
  <si>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</si>
  <si>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</si>
  <si>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</si>
  <si>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</si>
  <si>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</si>
  <si>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</si>
  <si>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</si>
  <si>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</si>
  <si>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</si>
  <si>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</si>
  <si>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</si>
  <si>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</si>
  <si>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0217130</t>
  </si>
  <si>
    <t>7130</t>
  </si>
  <si>
    <t>0421</t>
  </si>
  <si>
    <t>Здійснення заходів із землеустрою</t>
  </si>
  <si>
    <t>0443</t>
  </si>
  <si>
    <t>0217350</t>
  </si>
  <si>
    <t>7350</t>
  </si>
  <si>
    <t>Розроблення схем планування та забудови територій (містобудівної документації)</t>
  </si>
  <si>
    <t>Програма розроблення (оновлення) містобудівної документації населених пунктів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</si>
  <si>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</si>
  <si>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</si>
  <si>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</si>
  <si>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</si>
  <si>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</si>
  <si>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</si>
  <si>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</si>
  <si>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</si>
  <si>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</si>
  <si>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</si>
  <si>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</si>
  <si>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</si>
  <si>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</si>
  <si>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</si>
  <si>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</si>
  <si>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</si>
  <si>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</si>
  <si>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</si>
  <si>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</si>
  <si>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</si>
  <si>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</si>
  <si>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</si>
  <si>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</si>
  <si>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</si>
  <si>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</si>
  <si>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</si>
  <si>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</si>
  <si>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</si>
  <si>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</si>
  <si>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</si>
  <si>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</si>
  <si>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</si>
  <si>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</si>
  <si>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</si>
  <si>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</si>
  <si>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</si>
  <si>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</si>
  <si>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</si>
  <si>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</si>
  <si>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</si>
  <si>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</si>
  <si>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</si>
  <si>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</si>
  <si>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</si>
  <si>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</si>
  <si>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</si>
  <si>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</si>
  <si>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</si>
  <si>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</si>
  <si>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</si>
  <si>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</si>
  <si>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</si>
  <si>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</si>
  <si>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</si>
  <si>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</si>
  <si>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</si>
  <si>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</si>
  <si>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</si>
  <si>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</si>
  <si>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</si>
  <si>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</si>
  <si>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</si>
  <si>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</si>
  <si>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</si>
  <si>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</si>
  <si>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</si>
  <si>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</si>
  <si>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</si>
  <si>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</si>
  <si>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</si>
  <si>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</si>
  <si>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</si>
  <si>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</si>
  <si>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</si>
  <si>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</si>
  <si>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</si>
  <si>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</si>
  <si>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</si>
  <si>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</si>
  <si>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</si>
  <si>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</si>
  <si>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Комплексна програма компенсації пільгового проїзду окремих категорій громадян Бродівської міської ради на 2021-2023 роки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</si>
  <si>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</si>
  <si>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Секретар ради</t>
  </si>
  <si>
    <t>Руслан ШИШКА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</si>
  <si>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2023 рік"</t>
  </si>
  <si>
    <t>'Програма розвитку земельних відносин та охорони земель на території Бродівської міської ради на 2022-2025 роки</t>
  </si>
  <si>
    <t>від 14.12.2022 р.№368/02-02,від 20.12.2022 р.№862</t>
  </si>
  <si>
    <t>Програма створення місцевого резерву матеріально -технічних ресурсів для запобігання та ліквідації надзвичайних ситуацій техногенного та природного характеру та забезпечення  роботи  системи  оповіщення  населення на території  Бродівської міської територіальної  громади на 2023 рік</t>
  </si>
  <si>
    <t>Програма підтримки   Комунального підприємства  Телерадіокомпанія «Броди» Бродівської міської ради  на  2022-2024 роки</t>
  </si>
  <si>
    <t>від 24.12 .2020 р.№45 ,від 14.12.2022 р.№361/02-02,від 20.12.2022 р.№863</t>
  </si>
  <si>
    <t>Програма охорони тваринного світу, регулювання чисельності безпритульних тварин Бродівської міської ради на 2023 рік через БО БФ "Степ"</t>
  </si>
  <si>
    <t>0217322</t>
  </si>
  <si>
    <t>Будівництво медичних установ та закладів</t>
  </si>
  <si>
    <t>0217670</t>
  </si>
  <si>
    <t>7670</t>
  </si>
  <si>
    <t>0490</t>
  </si>
  <si>
    <t>Внески до статутного капіталу суб`єктів господарювання</t>
  </si>
  <si>
    <t>'Програма фінансової підтримки комунальних підприємств Бродівської міської ради на 2022-2024 роки</t>
  </si>
  <si>
    <t>Програма створення місцевої автоматизованої системи централізованого оповіщення  Бродівської міської ради на  2023 рік</t>
  </si>
  <si>
    <t>0218240</t>
  </si>
  <si>
    <t>Заходи та роботи з територіальної оборони</t>
  </si>
  <si>
    <t>Програма підтримки обороноздатності України на 2023 рік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</si>
  <si>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</si>
  <si>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</si>
  <si>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</si>
  <si>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«Боротьби зі злочинністю та зміцнення правопорядку на території  Бродівської ТГ Золочівського району на 2023 рік» 
</t>
  </si>
  <si>
    <t>Програма підтримки військової частини А2595 Збройних сил України на 2023 рік</t>
  </si>
  <si>
    <t>Програма підтримки військової частини А0508 Збройних сил України на 2023 рік</t>
  </si>
  <si>
    <t xml:space="preserve">Програма покращення якості надання публічних
послуг органами виконавчої влади на 2023 рік
</t>
  </si>
  <si>
    <t>Програма забезпечення заходів у сфері держаної безпеки України та ефективної діяльності Управління Служби безпеки України у Львівській області на 2023 рік</t>
  </si>
  <si>
    <t>0217660</t>
  </si>
  <si>
    <t>7660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</si>
  <si>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</si>
  <si>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</si>
  <si>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</si>
  <si>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</si>
  <si>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</si>
  <si>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r>
      <t xml:space="preserve">                </t>
    </r>
    <r>
      <rPr>
        <b/>
        <sz val="14"/>
        <color indexed="8"/>
        <rFont val="Times New Roman"/>
        <family val="1"/>
        <charset val="204"/>
      </rPr>
      <t xml:space="preserve">Перелік державних та регіональних програм, які фінансуватимуться за рахунок коштів
                                           Бродівського міського бюджету у 2023 році  </t>
    </r>
    <r>
      <rPr>
        <b/>
        <sz val="12"/>
        <color indexed="8"/>
        <rFont val="Times New Roman"/>
        <family val="1"/>
        <charset val="204"/>
      </rPr>
      <t xml:space="preserve">                                     
</t>
    </r>
  </si>
  <si>
    <t>Додаток 5</t>
  </si>
  <si>
    <t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2023 рік</t>
  </si>
  <si>
    <t>від 28.02.2023 р.№933</t>
  </si>
  <si>
    <t>від 21.12 .2022 р.№572, від 14.12.2022 р.№372/02-02,від 20.12.2022 р.№869, від 28.02.2023 №926</t>
  </si>
  <si>
    <t>від 28.02.2023 №929</t>
  </si>
  <si>
    <t>від 28.02.2023 №924</t>
  </si>
  <si>
    <t>від 07.11.2022 р.№315/02-02, від  14.12.2022 р.№370/02-02, від 20.12.2022 р.№867, від 28.02.2023 р №930</t>
  </si>
  <si>
    <t>від 21.12.2022 р.№570 ,від  14.12.2022 р.№369/02-02,від 20.12.2022 р.№866, від 28.02.20223 930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</si>
  <si>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</si>
  <si>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</si>
  <si>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від 21.12.2022 р.№570 ,від  14.12.2022 р.№369/02-02,від 20.12.2022 р.№866, від 21.03.2023 р. №963</t>
  </si>
  <si>
    <t>від 21.12 .2022 р.№577, від  14.12.2022 р.№374/02-02,від 20.12.2022 р.№870, від 21.03.2023 р.№960</t>
  </si>
  <si>
    <t>від 21.03.2023 №958</t>
  </si>
  <si>
    <t>від 28.02.2023 №923; від 04.04.2023 №1030</t>
  </si>
  <si>
    <t>0819770</t>
  </si>
  <si>
    <t>9770</t>
  </si>
  <si>
    <t>Інші субвенції з місцевого бюджету</t>
  </si>
  <si>
    <t>0216011</t>
  </si>
  <si>
    <t>6011</t>
  </si>
  <si>
    <t>0610</t>
  </si>
  <si>
    <t>Експлуатація та технічне обслуговування житлового фонду</t>
  </si>
  <si>
    <t>Програма підтримки об’єднань співвласників багатоквартирних будинків (ОСББ) у м.Броди на 2022-2024 роки</t>
  </si>
  <si>
    <t>від 21.12 .2022 р.№577,від 21.03.2023 р.№960</t>
  </si>
  <si>
    <t>Програма сприяння діяльності Управління державної казначейської служби України у Бродівському районі Львівської області на 2023 рік.</t>
  </si>
  <si>
    <t>Програма «Безпечна громада»  на 2023 рік .</t>
  </si>
  <si>
    <t>0216083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</si>
  <si>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</si>
  <si>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</si>
  <si>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Програма забезпечення житлом дітей сиріт та дітей позбавлених батьківського піклування та осіб з їх числа у Бродівській міській раді  на  2022-2024 роки</t>
  </si>
  <si>
    <t>від 26.10.2022 р.№ 475, від  14.12.2022 р.№377/02-02,від 20.12.2022 р.№872; від 27.06.2023р. №1142</t>
  </si>
  <si>
    <t>від 21.12.2021 р. №574, від 18.10.2022 р.  №282,від 27.06.2023 р.№1143</t>
  </si>
  <si>
    <t>Програма співфінансування капітальних ремонтів будинків у м.Броди на 2022-2024рр.</t>
  </si>
  <si>
    <t>Програма "Сприяння діяльності Бродівського  відділу ГУ ДМС у Львівській області на 2023 рік".</t>
  </si>
  <si>
    <t>від 18.07.2023 р№1202</t>
  </si>
  <si>
    <t>від 18.07.2023 р.№1203</t>
  </si>
  <si>
    <t>від 18.07.2023 р.№1204</t>
  </si>
  <si>
    <t>від  21.12.2021 р. №564, від 18.07.2023р. №1208</t>
  </si>
  <si>
    <t>від 21.12 .2022 р.№566,від  14.12.2022 р.№366/02-02,від 20.12.2022 р.№865, від 28.02.2023 №918, від 18.07.2023 р.№1209</t>
  </si>
  <si>
    <t>від 30.08.2018 р.№694, від 14.12.2022 р.№377/02-02,від 20.12.2022 р.№871, від 18.07.2023 р.№1211</t>
  </si>
  <si>
    <t>від 21.12 .2022 р.№583, від  14.12.2022 р.№376/02-02,від 20.12.2022 р.№855,від 16.05.2023 р.№1084, від 18.07.2023 р. №1212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</si>
  <si>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</si>
  <si>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0217370</t>
  </si>
  <si>
    <t>7370</t>
  </si>
  <si>
    <t>Реалізація інших заходів щодо соціально-економічного розвитку територій</t>
  </si>
  <si>
    <t>від 21.09.2023 №1260</t>
  </si>
  <si>
    <t>від 21.09.2023 №1259</t>
  </si>
  <si>
    <t>від 21.12.2021 р. №569; від 15.09.2022 р. №234/02-02 ,від 21.03.2023 №961; від 04.04.2023 №1029, від 18.07.2023 р.№1205,від 21.09.2023 №1260</t>
  </si>
  <si>
    <t>Програма підтримки військової частини А3215 Збройних сил України на 2023 рік</t>
  </si>
  <si>
    <t>Програма формування податкової культури у Бродівській міській громаді  на 2023-2024 роки</t>
  </si>
  <si>
    <t>0219770</t>
  </si>
  <si>
    <t xml:space="preserve">Місцева програма інформатизації «Цифрова Бродівська міська територіальна громада» на 2022 – 2024 роки
</t>
  </si>
  <si>
    <t>від 31.10.2023р.№1283</t>
  </si>
  <si>
    <t>від 31.10.2023р.№1286</t>
  </si>
  <si>
    <t>від 21.12 .2022 р.№561, від  14.12.2022 р.№364/02-02,від 20.12.2022 р.№861,від 31.10.2023р.№1278</t>
  </si>
  <si>
    <t>від 21.12 .2022 р.№560, від  14.12.2022 р.№363/02-02,від 20.12.2022 р.№860, від 10.2023р.№1277</t>
  </si>
  <si>
    <t>від 21.12 .2022 р.№561, від 14.12.2022 р.№364/02-02,від 20.12.2022 р.№861, від 31.10.2023р.№1278</t>
  </si>
  <si>
    <t>від 24.12.2020 р.№44 ,від 14.12.2022 р.№360/02-02,від 20.12.2022 р.№854, від 18.07.2023 р.№1206, від 31.10.2023 р.№1290</t>
  </si>
  <si>
    <t xml:space="preserve"> від 14.12.2022 р.№371/02-02, від 20.12.2022 р.№868,від 310.2023 р.№1285</t>
  </si>
  <si>
    <t>від 28.02.2023 №925,від 31.10.2023р.№1280</t>
  </si>
  <si>
    <t>від 28.02.2023 №928, від 18.07.2023 р. №1201,від 31.10.2023р.№1281</t>
  </si>
  <si>
    <t>від 28.02.2023 №927,від 31.10.2023р.№1282</t>
  </si>
  <si>
    <t>від 21.12 .2022 р.№567, від 14.12.2022 р.№367/02-02,від 20.12.2022 р.№864, від 28.02.2023 №919, від 18.07.2023 р.№1207,від 31.10.2023 р.№1279</t>
  </si>
  <si>
    <t>від 26.07. 2022 року №159/02-02, від 31.10.2023р.№1287</t>
  </si>
  <si>
    <t>від 23.11. .2023 року № 1374</t>
  </si>
  <si>
    <r>
      <t xml:space="preserve">від 21.12 .2022 р.№560, від 14.12.2022 р.№363/02-02, від 20.12.2022 р.№860, від 28.02.2023 р №920, від 27.06.2023 р.№1139, від 18.07.2023 р.№1210, від 21.09.2023 №1261,від 31.10.2023р.№1277, </t>
    </r>
    <r>
      <rPr>
        <sz val="12"/>
        <color rgb="FFFF0000"/>
        <rFont val="Times New Roman"/>
        <family val="1"/>
        <charset val="204"/>
      </rPr>
      <t>від 23.11.2023р. № 1366</t>
    </r>
  </si>
  <si>
    <r>
      <t xml:space="preserve">від 28.02.2023 №922, від 17.08.2023 р№1244, від 31.10.2023 р.№1284, </t>
    </r>
    <r>
      <rPr>
        <sz val="12"/>
        <color rgb="FFFF0000"/>
        <rFont val="Times New Roman"/>
        <family val="1"/>
        <charset val="204"/>
      </rPr>
      <t>від 23.11.2023р. № 1368</t>
    </r>
  </si>
  <si>
    <r>
      <t xml:space="preserve">від 24.12.2020 р.№44 ,від 14.12.2022 р.№360/02-02,від 20.12.2022 р.№854, від 28.02.2023 №921, від 16.05.2023 р.№1085; від 27.06.2023 №1140, від 18.07.2023 р.№1206, від 31.10.2023 р.№1290, </t>
    </r>
    <r>
      <rPr>
        <sz val="12"/>
        <color rgb="FFFF0000"/>
        <rFont val="Times New Roman"/>
        <family val="1"/>
        <charset val="204"/>
      </rPr>
      <t>від 23.11.2023р. №1369</t>
    </r>
  </si>
  <si>
    <r>
      <t xml:space="preserve">від 21.12.2021 р. №574 ,від 18.07.2023 р.№1214, від31.10.2023 р.№1289, </t>
    </r>
    <r>
      <rPr>
        <sz val="12"/>
        <color rgb="FFFF0000"/>
        <rFont val="Times New Roman"/>
        <family val="1"/>
        <charset val="204"/>
      </rPr>
      <t>від 23.11.2023р. № 1370</t>
    </r>
  </si>
  <si>
    <r>
      <t xml:space="preserve">від 21.12 .2022 р.№560,від 28.02.2023 р.№920, від 27.06.2023р. №1139, </t>
    </r>
    <r>
      <rPr>
        <sz val="12"/>
        <color rgb="FFFF0000"/>
        <rFont val="Times New Roman"/>
        <family val="1"/>
        <charset val="204"/>
      </rPr>
      <t>від 23.11.2023р. № 1366</t>
    </r>
  </si>
  <si>
    <r>
      <t xml:space="preserve">від 21.12 .2022 р.№584, від  14.12.2022 р.№375/02-02,від 20.12.2022 р.№873, від 28.02.2023 №931, від 18.07.2023 р.№1213, </t>
    </r>
    <r>
      <rPr>
        <sz val="12"/>
        <color rgb="FFFF0000"/>
        <rFont val="Times New Roman"/>
        <family val="1"/>
        <charset val="204"/>
      </rPr>
      <t>від 23.11.2023р. № 1371</t>
    </r>
  </si>
  <si>
    <r>
      <t>від 28.02.2023 №932,від 21.03.2023 р.№959</t>
    </r>
    <r>
      <rPr>
        <sz val="12"/>
        <color rgb="FFFF0000"/>
        <rFont val="Times New Roman"/>
        <family val="1"/>
        <charset val="204"/>
      </rPr>
      <t>,від 23.11.2023р. № 1372</t>
    </r>
  </si>
  <si>
    <t xml:space="preserve"> від 21.12.2022 р.№559 , від 14.12.2022 р.№362/02-02,  від 20.12.2022 р.№859, від 21.09.2023 №1259, від 23.11.2023р. № 1373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</si>
</sst>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color theme="1"/>
      <name val="Arial"/>
    </font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9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2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rgb="FF000000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1" fillId="0" borderId="0"/>
  </cellStyleXfs>
  <cellXfs count="149">
    <xf numFmtId="0" fontId="0" fillId="0" borderId="0" xfId="0" applyFont="1" applyAlignment="1"/>
    <xf numFmtId="0" fontId="2" fillId="2" borderId="0" xfId="0" applyFont="1" applyFill="1" applyBorder="1"/>
    <xf numFmtId="0" fontId="2" fillId="2" borderId="1" xfId="0" quotePrefix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3" fillId="2" borderId="2" xfId="0" quotePrefix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49" fontId="2" fillId="2" borderId="2" xfId="0" quotePrefix="1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wrapText="1"/>
    </xf>
    <xf numFmtId="3" fontId="6" fillId="0" borderId="0" xfId="0" applyNumberFormat="1" applyFont="1"/>
    <xf numFmtId="0" fontId="7" fillId="0" borderId="0" xfId="0" applyFont="1"/>
    <xf numFmtId="3" fontId="0" fillId="0" borderId="0" xfId="0" applyNumberFormat="1" applyFont="1" applyAlignment="1"/>
    <xf numFmtId="0" fontId="8" fillId="2" borderId="2" xfId="0" quotePrefix="1" applyFont="1" applyFill="1" applyBorder="1" applyAlignment="1">
      <alignment horizontal="center" vertical="center" wrapText="1"/>
    </xf>
    <xf numFmtId="0" fontId="9" fillId="0" borderId="0" xfId="0" applyFont="1" applyAlignment="1"/>
    <xf numFmtId="3" fontId="2" fillId="2" borderId="0" xfId="0" applyNumberFormat="1" applyFont="1" applyFill="1" applyBorder="1"/>
    <xf numFmtId="0" fontId="2" fillId="2" borderId="2" xfId="0" applyFont="1" applyFill="1" applyBorder="1" applyAlignment="1">
      <alignment horizontal="left" vertical="center" wrapText="1"/>
    </xf>
    <xf numFmtId="4" fontId="2" fillId="2" borderId="2" xfId="0" quotePrefix="1" applyNumberFormat="1" applyFont="1" applyFill="1" applyBorder="1" applyAlignment="1">
      <alignment horizontal="left" vertical="center" wrapText="1"/>
    </xf>
    <xf numFmtId="4" fontId="8" fillId="2" borderId="2" xfId="0" quotePrefix="1" applyNumberFormat="1" applyFont="1" applyFill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left" vertical="center" wrapText="1"/>
    </xf>
    <xf numFmtId="4" fontId="12" fillId="0" borderId="4" xfId="2" quotePrefix="1" applyNumberFormat="1" applyFont="1" applyBorder="1" applyAlignment="1">
      <alignment vertical="center" wrapText="1"/>
    </xf>
    <xf numFmtId="0" fontId="12" fillId="0" borderId="4" xfId="0" quotePrefix="1" applyFont="1" applyBorder="1" applyAlignment="1">
      <alignment horizontal="center" vertical="center" wrapText="1"/>
    </xf>
    <xf numFmtId="4" fontId="12" fillId="0" borderId="4" xfId="0" quotePrefix="1" applyNumberFormat="1" applyFont="1" applyBorder="1" applyAlignment="1">
      <alignment horizontal="center" vertical="center" wrapText="1"/>
    </xf>
    <xf numFmtId="4" fontId="12" fillId="0" borderId="4" xfId="0" quotePrefix="1" applyNumberFormat="1" applyFont="1" applyBorder="1" applyAlignment="1">
      <alignment vertical="center" wrapText="1"/>
    </xf>
    <xf numFmtId="4" fontId="8" fillId="2" borderId="2" xfId="0" quotePrefix="1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9" fontId="12" fillId="3" borderId="14" xfId="0" quotePrefix="1" applyNumberFormat="1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4" fontId="12" fillId="3" borderId="14" xfId="0" quotePrefix="1" applyNumberFormat="1" applyFont="1" applyFill="1" applyBorder="1" applyAlignment="1">
      <alignment horizontal="center" vertical="center" wrapText="1"/>
    </xf>
    <xf numFmtId="4" fontId="12" fillId="3" borderId="14" xfId="0" quotePrefix="1" applyNumberFormat="1" applyFont="1" applyFill="1" applyBorder="1" applyAlignment="1">
      <alignment vertical="center" wrapText="1"/>
    </xf>
    <xf numFmtId="0" fontId="8" fillId="3" borderId="14" xfId="0" applyFont="1" applyFill="1" applyBorder="1" applyAlignment="1">
      <alignment vertical="center" wrapText="1"/>
    </xf>
    <xf numFmtId="0" fontId="13" fillId="3" borderId="15" xfId="0" quotePrefix="1" applyFont="1" applyFill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 wrapText="1"/>
    </xf>
    <xf numFmtId="4" fontId="13" fillId="3" borderId="15" xfId="0" applyNumberFormat="1" applyFont="1" applyFill="1" applyBorder="1" applyAlignment="1">
      <alignment horizontal="center" vertical="center" wrapText="1"/>
    </xf>
    <xf numFmtId="4" fontId="13" fillId="3" borderId="15" xfId="0" quotePrefix="1" applyNumberFormat="1" applyFont="1" applyFill="1" applyBorder="1" applyAlignment="1">
      <alignment vertical="center" wrapText="1"/>
    </xf>
    <xf numFmtId="0" fontId="12" fillId="3" borderId="14" xfId="0" quotePrefix="1" applyFont="1" applyFill="1" applyBorder="1" applyAlignment="1">
      <alignment horizontal="center" vertical="center" wrapText="1"/>
    </xf>
    <xf numFmtId="49" fontId="12" fillId="3" borderId="14" xfId="0" quotePrefix="1" applyNumberFormat="1" applyFont="1" applyFill="1" applyBorder="1" applyAlignment="1">
      <alignment horizontal="center" vertical="center"/>
    </xf>
    <xf numFmtId="4" fontId="12" fillId="3" borderId="14" xfId="0" quotePrefix="1" applyNumberFormat="1" applyFont="1" applyFill="1" applyBorder="1" applyAlignment="1">
      <alignment horizontal="left" vertical="center" wrapText="1"/>
    </xf>
    <xf numFmtId="4" fontId="8" fillId="3" borderId="14" xfId="0" quotePrefix="1" applyNumberFormat="1" applyFont="1" applyFill="1" applyBorder="1" applyAlignment="1">
      <alignment vertical="center" wrapText="1"/>
    </xf>
    <xf numFmtId="4" fontId="8" fillId="2" borderId="7" xfId="0" quotePrefix="1" applyNumberFormat="1" applyFont="1" applyFill="1" applyBorder="1" applyAlignment="1">
      <alignment horizontal="left" vertical="center" wrapText="1"/>
    </xf>
    <xf numFmtId="4" fontId="8" fillId="0" borderId="4" xfId="1" applyNumberFormat="1" applyFont="1" applyBorder="1" applyAlignment="1">
      <alignment vertical="center"/>
    </xf>
    <xf numFmtId="4" fontId="8" fillId="0" borderId="17" xfId="1" applyNumberFormat="1" applyFont="1" applyBorder="1" applyAlignment="1">
      <alignment vertical="center"/>
    </xf>
    <xf numFmtId="4" fontId="8" fillId="0" borderId="12" xfId="1" applyNumberFormat="1" applyFont="1" applyBorder="1" applyAlignment="1">
      <alignment vertical="center"/>
    </xf>
    <xf numFmtId="4" fontId="8" fillId="0" borderId="0" xfId="1" applyNumberFormat="1" applyFont="1" applyBorder="1" applyAlignment="1">
      <alignment vertical="center"/>
    </xf>
    <xf numFmtId="0" fontId="7" fillId="0" borderId="0" xfId="0" applyFont="1" applyFill="1"/>
    <xf numFmtId="0" fontId="8" fillId="2" borderId="3" xfId="0" applyFont="1" applyFill="1" applyBorder="1" applyAlignment="1">
      <alignment horizontal="left" vertical="center" wrapText="1"/>
    </xf>
    <xf numFmtId="4" fontId="12" fillId="0" borderId="0" xfId="2" quotePrefix="1" applyNumberFormat="1" applyFont="1" applyBorder="1" applyAlignment="1">
      <alignment vertical="center" wrapText="1"/>
    </xf>
    <xf numFmtId="4" fontId="8" fillId="2" borderId="4" xfId="0" applyNumberFormat="1" applyFont="1" applyFill="1" applyBorder="1" applyAlignment="1">
      <alignment vertical="center" wrapText="1"/>
    </xf>
    <xf numFmtId="4" fontId="8" fillId="2" borderId="2" xfId="0" applyNumberFormat="1" applyFont="1" applyFill="1" applyBorder="1" applyAlignment="1">
      <alignment vertical="center" wrapText="1"/>
    </xf>
    <xf numFmtId="4" fontId="8" fillId="2" borderId="3" xfId="0" applyNumberFormat="1" applyFont="1" applyFill="1" applyBorder="1" applyAlignment="1">
      <alignment vertical="center" wrapText="1"/>
    </xf>
    <xf numFmtId="0" fontId="8" fillId="4" borderId="4" xfId="0" quotePrefix="1" applyFont="1" applyFill="1" applyBorder="1" applyAlignment="1">
      <alignment horizontal="center" vertical="center" wrapText="1"/>
    </xf>
    <xf numFmtId="4" fontId="8" fillId="4" borderId="4" xfId="0" quotePrefix="1" applyNumberFormat="1" applyFont="1" applyFill="1" applyBorder="1" applyAlignment="1">
      <alignment horizontal="center" vertical="center" wrapText="1"/>
    </xf>
    <xf numFmtId="4" fontId="8" fillId="4" borderId="4" xfId="0" quotePrefix="1" applyNumberFormat="1" applyFont="1" applyFill="1" applyBorder="1" applyAlignment="1">
      <alignment vertical="center" wrapText="1"/>
    </xf>
    <xf numFmtId="4" fontId="2" fillId="2" borderId="18" xfId="0" quotePrefix="1" applyNumberFormat="1" applyFont="1" applyFill="1" applyBorder="1" applyAlignment="1">
      <alignment vertical="center" wrapText="1"/>
    </xf>
    <xf numFmtId="4" fontId="2" fillId="2" borderId="1" xfId="0" quotePrefix="1" applyNumberFormat="1" applyFont="1" applyFill="1" applyBorder="1" applyAlignment="1">
      <alignment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12" fillId="4" borderId="4" xfId="1" quotePrefix="1" applyFont="1" applyFill="1" applyBorder="1" applyAlignment="1">
      <alignment horizontal="center" vertical="center" wrapText="1"/>
    </xf>
    <xf numFmtId="4" fontId="12" fillId="4" borderId="4" xfId="1" quotePrefix="1" applyNumberFormat="1" applyFont="1" applyFill="1" applyBorder="1" applyAlignment="1">
      <alignment horizontal="center" vertical="center" wrapText="1"/>
    </xf>
    <xf numFmtId="4" fontId="12" fillId="4" borderId="4" xfId="1" quotePrefix="1" applyNumberFormat="1" applyFont="1" applyFill="1" applyBorder="1" applyAlignment="1">
      <alignment vertical="center" wrapText="1"/>
    </xf>
    <xf numFmtId="0" fontId="2" fillId="2" borderId="2" xfId="0" quotePrefix="1" applyFont="1" applyFill="1" applyBorder="1" applyAlignment="1">
      <alignment horizontal="left" vertical="center" wrapText="1"/>
    </xf>
    <xf numFmtId="4" fontId="15" fillId="2" borderId="2" xfId="0" applyNumberFormat="1" applyFont="1" applyFill="1" applyBorder="1" applyAlignment="1">
      <alignment vertical="center" wrapText="1"/>
    </xf>
    <xf numFmtId="4" fontId="8" fillId="2" borderId="7" xfId="0" applyNumberFormat="1" applyFont="1" applyFill="1" applyBorder="1" applyAlignment="1">
      <alignment vertical="center" wrapText="1"/>
    </xf>
    <xf numFmtId="4" fontId="8" fillId="0" borderId="3" xfId="0" applyNumberFormat="1" applyFont="1" applyBorder="1"/>
    <xf numFmtId="4" fontId="8" fillId="0" borderId="2" xfId="0" applyNumberFormat="1" applyFont="1" applyBorder="1"/>
    <xf numFmtId="4" fontId="8" fillId="2" borderId="5" xfId="0" applyNumberFormat="1" applyFont="1" applyFill="1" applyBorder="1" applyAlignment="1">
      <alignment vertical="center" wrapText="1"/>
    </xf>
    <xf numFmtId="4" fontId="8" fillId="2" borderId="13" xfId="0" applyNumberFormat="1" applyFont="1" applyFill="1" applyBorder="1" applyAlignment="1">
      <alignment vertical="center" wrapText="1"/>
    </xf>
    <xf numFmtId="4" fontId="8" fillId="2" borderId="16" xfId="0" applyNumberFormat="1" applyFont="1" applyFill="1" applyBorder="1" applyAlignment="1">
      <alignment vertical="center" wrapText="1"/>
    </xf>
    <xf numFmtId="4" fontId="8" fillId="2" borderId="11" xfId="0" applyNumberFormat="1" applyFont="1" applyFill="1" applyBorder="1" applyAlignment="1">
      <alignment vertical="center" wrapText="1"/>
    </xf>
    <xf numFmtId="4" fontId="15" fillId="2" borderId="11" xfId="0" applyNumberFormat="1" applyFont="1" applyFill="1" applyBorder="1" applyAlignment="1">
      <alignment vertical="center" wrapText="1"/>
    </xf>
    <xf numFmtId="4" fontId="15" fillId="2" borderId="5" xfId="0" applyNumberFormat="1" applyFont="1" applyFill="1" applyBorder="1" applyAlignment="1">
      <alignment vertical="center" wrapText="1"/>
    </xf>
    <xf numFmtId="4" fontId="8" fillId="2" borderId="10" xfId="0" applyNumberFormat="1" applyFont="1" applyFill="1" applyBorder="1" applyAlignment="1">
      <alignment vertical="center" wrapText="1"/>
    </xf>
    <xf numFmtId="0" fontId="8" fillId="2" borderId="7" xfId="0" applyFont="1" applyFill="1" applyBorder="1" applyAlignment="1">
      <alignment horizontal="left" vertical="center" wrapText="1"/>
    </xf>
    <xf numFmtId="4" fontId="8" fillId="2" borderId="6" xfId="0" quotePrefix="1" applyNumberFormat="1" applyFont="1" applyFill="1" applyBorder="1" applyAlignment="1">
      <alignment horizontal="left" vertical="center" wrapText="1"/>
    </xf>
    <xf numFmtId="49" fontId="12" fillId="3" borderId="19" xfId="0" quotePrefix="1" applyNumberFormat="1" applyFont="1" applyFill="1" applyBorder="1" applyAlignment="1">
      <alignment horizontal="center" vertical="center"/>
    </xf>
    <xf numFmtId="4" fontId="12" fillId="3" borderId="20" xfId="0" quotePrefix="1" applyNumberFormat="1" applyFont="1" applyFill="1" applyBorder="1" applyAlignment="1">
      <alignment vertical="center" wrapText="1"/>
    </xf>
    <xf numFmtId="4" fontId="8" fillId="2" borderId="8" xfId="0" applyNumberFormat="1" applyFont="1" applyFill="1" applyBorder="1" applyAlignment="1">
      <alignment vertical="center" wrapText="1"/>
    </xf>
    <xf numFmtId="4" fontId="8" fillId="0" borderId="21" xfId="1" applyNumberFormat="1" applyFont="1" applyBorder="1" applyAlignment="1">
      <alignment vertical="center"/>
    </xf>
    <xf numFmtId="4" fontId="8" fillId="2" borderId="22" xfId="0" applyNumberFormat="1" applyFont="1" applyFill="1" applyBorder="1" applyAlignment="1">
      <alignment vertical="center" wrapText="1"/>
    </xf>
    <xf numFmtId="4" fontId="3" fillId="2" borderId="7" xfId="0" quotePrefix="1" applyNumberFormat="1" applyFont="1" applyFill="1" applyBorder="1" applyAlignment="1">
      <alignment vertical="center" wrapText="1"/>
    </xf>
    <xf numFmtId="4" fontId="3" fillId="2" borderId="7" xfId="0" applyNumberFormat="1" applyFont="1" applyFill="1" applyBorder="1" applyAlignment="1">
      <alignment vertical="center" wrapText="1"/>
    </xf>
    <xf numFmtId="4" fontId="3" fillId="2" borderId="7" xfId="0" applyNumberFormat="1" applyFont="1" applyFill="1" applyBorder="1" applyAlignment="1">
      <alignment horizontal="left" vertical="center" wrapText="1"/>
    </xf>
    <xf numFmtId="4" fontId="15" fillId="2" borderId="7" xfId="0" applyNumberFormat="1" applyFont="1" applyFill="1" applyBorder="1" applyAlignment="1">
      <alignment vertical="center" wrapText="1"/>
    </xf>
    <xf numFmtId="4" fontId="12" fillId="3" borderId="4" xfId="0" quotePrefix="1" applyNumberFormat="1" applyFont="1" applyFill="1" applyBorder="1" applyAlignment="1">
      <alignment vertical="center" wrapText="1"/>
    </xf>
    <xf numFmtId="4" fontId="8" fillId="2" borderId="4" xfId="0" quotePrefix="1" applyNumberFormat="1" applyFont="1" applyFill="1" applyBorder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8" fillId="3" borderId="14" xfId="0" quotePrefix="1" applyFont="1" applyFill="1" applyBorder="1" applyAlignment="1">
      <alignment horizontal="center" vertical="center" wrapText="1"/>
    </xf>
    <xf numFmtId="4" fontId="12" fillId="3" borderId="14" xfId="0" quotePrefix="1" applyNumberFormat="1" applyFont="1" applyFill="1" applyBorder="1" applyAlignment="1">
      <alignment vertical="top" wrapText="1"/>
    </xf>
    <xf numFmtId="3" fontId="12" fillId="3" borderId="14" xfId="0" applyNumberFormat="1" applyFont="1" applyFill="1" applyBorder="1" applyAlignment="1">
      <alignment vertical="center" wrapText="1"/>
    </xf>
    <xf numFmtId="4" fontId="0" fillId="0" borderId="0" xfId="0" applyNumberFormat="1" applyFont="1" applyAlignment="1"/>
    <xf numFmtId="4" fontId="8" fillId="2" borderId="0" xfId="0" applyNumberFormat="1" applyFont="1" applyFill="1" applyBorder="1" applyAlignment="1">
      <alignment vertical="center" wrapText="1"/>
    </xf>
    <xf numFmtId="4" fontId="8" fillId="2" borderId="11" xfId="0" quotePrefix="1" applyNumberFormat="1" applyFont="1" applyFill="1" applyBorder="1" applyAlignment="1">
      <alignment horizontal="left" vertical="center" wrapText="1"/>
    </xf>
    <xf numFmtId="0" fontId="2" fillId="2" borderId="5" xfId="0" quotePrefix="1" applyFont="1" applyFill="1" applyBorder="1" applyAlignment="1">
      <alignment horizontal="center" vertical="center" wrapText="1"/>
    </xf>
    <xf numFmtId="4" fontId="2" fillId="2" borderId="5" xfId="0" quotePrefix="1" applyNumberFormat="1" applyFont="1" applyFill="1" applyBorder="1" applyAlignment="1">
      <alignment horizontal="center" vertical="center" wrapText="1"/>
    </xf>
    <xf numFmtId="4" fontId="2" fillId="2" borderId="5" xfId="0" quotePrefix="1" applyNumberFormat="1" applyFont="1" applyFill="1" applyBorder="1" applyAlignment="1">
      <alignment vertical="center" wrapText="1"/>
    </xf>
    <xf numFmtId="4" fontId="8" fillId="2" borderId="21" xfId="0" applyNumberFormat="1" applyFont="1" applyFill="1" applyBorder="1" applyAlignment="1">
      <alignment vertical="center" wrapText="1"/>
    </xf>
    <xf numFmtId="0" fontId="12" fillId="4" borderId="4" xfId="0" quotePrefix="1" applyFont="1" applyFill="1" applyBorder="1" applyAlignment="1">
      <alignment horizontal="center" vertical="center" wrapText="1"/>
    </xf>
    <xf numFmtId="4" fontId="12" fillId="4" borderId="4" xfId="0" quotePrefix="1" applyNumberFormat="1" applyFont="1" applyFill="1" applyBorder="1" applyAlignment="1">
      <alignment horizontal="center" vertical="center" wrapText="1"/>
    </xf>
    <xf numFmtId="4" fontId="12" fillId="4" borderId="4" xfId="0" quotePrefix="1" applyNumberFormat="1" applyFont="1" applyFill="1" applyBorder="1" applyAlignment="1">
      <alignment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4" fillId="0" borderId="9" xfId="0" applyFont="1" applyBorder="1"/>
    <xf numFmtId="0" fontId="4" fillId="0" borderId="10" xfId="0" applyFont="1" applyBorder="1"/>
    <xf numFmtId="0" fontId="8" fillId="3" borderId="0" xfId="0" applyFont="1" applyFill="1" applyBorder="1" applyAlignment="1">
      <alignment vertical="center" wrapText="1"/>
    </xf>
    <xf numFmtId="0" fontId="12" fillId="2" borderId="0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4" fontId="8" fillId="2" borderId="7" xfId="0" quotePrefix="1" applyNumberFormat="1" applyFont="1" applyFill="1" applyBorder="1" applyAlignment="1">
      <alignment horizontal="left" vertical="center" wrapText="1"/>
    </xf>
    <xf numFmtId="4" fontId="8" fillId="3" borderId="23" xfId="0" quotePrefix="1" applyNumberFormat="1" applyFont="1" applyFill="1" applyBorder="1" applyAlignment="1">
      <alignment vertical="center" wrapText="1"/>
    </xf>
    <xf numFmtId="4" fontId="8" fillId="2" borderId="2" xfId="0" quotePrefix="1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left" vertical="center" wrapText="1"/>
    </xf>
    <xf numFmtId="4" fontId="15" fillId="2" borderId="7" xfId="0" applyNumberFormat="1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4" fillId="0" borderId="0" xfId="0" applyFont="1" applyBorder="1"/>
    <xf numFmtId="0" fontId="5" fillId="2" borderId="5" xfId="0" applyFont="1" applyFill="1" applyBorder="1" applyAlignment="1">
      <alignment horizontal="center" vertical="center" wrapText="1"/>
    </xf>
    <xf numFmtId="0" fontId="4" fillId="0" borderId="6" xfId="0" applyFont="1" applyBorder="1"/>
    <xf numFmtId="0" fontId="4" fillId="0" borderId="7" xfId="0" applyFont="1" applyBorder="1"/>
    <xf numFmtId="0" fontId="5" fillId="2" borderId="8" xfId="0" applyFont="1" applyFill="1" applyBorder="1" applyAlignment="1">
      <alignment horizontal="center" vertical="center" wrapText="1"/>
    </xf>
    <xf numFmtId="0" fontId="4" fillId="0" borderId="9" xfId="0" applyFont="1" applyBorder="1"/>
    <xf numFmtId="0" fontId="4" fillId="0" borderId="10" xfId="0" applyFont="1" applyBorder="1"/>
    <xf numFmtId="0" fontId="5" fillId="2" borderId="3" xfId="0" applyFont="1" applyFill="1" applyBorder="1" applyAlignment="1">
      <alignment horizontal="center" vertical="center" wrapText="1"/>
    </xf>
    <xf numFmtId="0" fontId="4" fillId="0" borderId="11" xfId="0" applyFont="1" applyBorder="1"/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4" fontId="8" fillId="2" borderId="5" xfId="0" quotePrefix="1" applyNumberFormat="1" applyFont="1" applyFill="1" applyBorder="1" applyAlignment="1">
      <alignment horizontal="left" vertical="center" wrapText="1"/>
    </xf>
    <xf numFmtId="4" fontId="8" fillId="2" borderId="6" xfId="0" quotePrefix="1" applyNumberFormat="1" applyFont="1" applyFill="1" applyBorder="1" applyAlignment="1">
      <alignment horizontal="left" vertical="center" wrapText="1"/>
    </xf>
    <xf numFmtId="4" fontId="8" fillId="2" borderId="7" xfId="0" quotePrefix="1" applyNumberFormat="1" applyFont="1" applyFill="1" applyBorder="1" applyAlignment="1">
      <alignment horizontal="left" vertical="center" wrapText="1"/>
    </xf>
    <xf numFmtId="4" fontId="2" fillId="2" borderId="5" xfId="0" quotePrefix="1" applyNumberFormat="1" applyFont="1" applyFill="1" applyBorder="1" applyAlignment="1">
      <alignment horizontal="left" vertical="center" wrapText="1"/>
    </xf>
    <xf numFmtId="4" fontId="2" fillId="2" borderId="7" xfId="0" quotePrefix="1" applyNumberFormat="1" applyFont="1" applyFill="1" applyBorder="1" applyAlignment="1">
      <alignment horizontal="left" vertical="center" wrapText="1"/>
    </xf>
    <xf numFmtId="49" fontId="2" fillId="0" borderId="5" xfId="0" applyNumberFormat="1" applyFont="1" applyBorder="1" applyAlignment="1">
      <alignment horizontal="left" wrapText="1"/>
    </xf>
    <xf numFmtId="49" fontId="2" fillId="0" borderId="7" xfId="0" applyNumberFormat="1" applyFont="1" applyBorder="1" applyAlignment="1">
      <alignment horizontal="left" wrapText="1"/>
    </xf>
    <xf numFmtId="49" fontId="2" fillId="0" borderId="6" xfId="0" applyNumberFormat="1" applyFont="1" applyBorder="1" applyAlignment="1">
      <alignment horizontal="left" wrapText="1"/>
    </xf>
  </cellXfs>
  <cellStyles count="3">
    <cellStyle name="Обычный" xfId="0" builtinId="0"/>
    <cellStyle name="Обычный 2" xfId="1"/>
    <cellStyle name="Обычный 3" xfId="2"/>
  </cellStyles>
  <dxfs count="12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438"/>
  <sheetViews>
    <sheetView tabSelected="1" topLeftCell="F12" workbookViewId="0">
      <selection activeCell="G23" sqref="G23:G24"/>
    </sheetView>
  </sheetViews>
  <sheetFormatPr defaultRowHeight="15" customHeight="1" x14ac:dyDescent="0.2"/>
  <cols>
    <col min="2" max="4" width="12" customWidth="1"/>
    <col min="5" max="5" width="62.7109375" customWidth="1"/>
    <col min="6" max="6" width="59.42578125" customWidth="1"/>
    <col min="7" max="7" width="32.28515625" customWidth="1"/>
    <col min="8" max="8" width="0.140625" hidden="1" customWidth="1"/>
    <col min="9" max="9" width="19.42578125" customWidth="1"/>
    <col min="10" max="10" width="19.140625" customWidth="1"/>
    <col min="11" max="11" width="18.42578125" customWidth="1"/>
    <col min="12" max="12" width="18" customWidth="1"/>
    <col min="13" max="13" width="13.7109375" customWidth="1"/>
    <col min="14" max="28" width="8.7109375" customWidth="1"/>
  </cols>
  <sheetData>
    <row r="1" spans="2:12" ht="15" customHeight="1" x14ac:dyDescent="0.3">
      <c r="I1" s="17" t="s">
        <v>193</v>
      </c>
      <c r="J1" s="17"/>
      <c r="K1" s="17"/>
    </row>
    <row r="2" spans="2:12" ht="15" customHeight="1" x14ac:dyDescent="0.3">
      <c r="I2" s="50" t="s">
        <v>188</v>
      </c>
      <c r="J2" s="17"/>
      <c r="K2" s="17"/>
    </row>
    <row r="3" spans="2:12" ht="15" customHeight="1" x14ac:dyDescent="0.3">
      <c r="I3" s="50" t="s">
        <v>189</v>
      </c>
      <c r="J3" s="17"/>
      <c r="K3" s="17"/>
    </row>
    <row r="4" spans="2:12" ht="15" customHeight="1" x14ac:dyDescent="0.3">
      <c r="I4" s="17" t="s">
        <v>256</v>
      </c>
      <c r="J4" s="17"/>
      <c r="K4" s="17"/>
    </row>
    <row r="5" spans="2:12" ht="15" customHeight="1" x14ac:dyDescent="0.3">
      <c r="I5" s="17"/>
      <c r="J5" s="17"/>
      <c r="K5" s="17"/>
    </row>
    <row r="6" spans="2:12" ht="15" customHeight="1" x14ac:dyDescent="0.3">
      <c r="I6" s="17" t="s">
        <v>193</v>
      </c>
      <c r="J6" s="17"/>
      <c r="K6" s="17"/>
    </row>
    <row r="7" spans="2:12" ht="15" customHeight="1" x14ac:dyDescent="0.3">
      <c r="B7" s="1"/>
      <c r="C7" s="1"/>
      <c r="D7" s="1"/>
      <c r="E7" s="1"/>
      <c r="F7" s="1"/>
      <c r="G7" s="1"/>
      <c r="H7" s="1"/>
      <c r="I7" s="17" t="s">
        <v>190</v>
      </c>
      <c r="J7" s="17"/>
      <c r="K7" s="17"/>
    </row>
    <row r="8" spans="2:12" ht="17.25" customHeight="1" x14ac:dyDescent="0.3">
      <c r="B8" s="1"/>
      <c r="C8" s="1"/>
      <c r="D8" s="1"/>
      <c r="E8" s="1"/>
      <c r="F8" s="1"/>
      <c r="G8" s="1"/>
      <c r="H8" s="1"/>
      <c r="I8" s="17" t="s">
        <v>189</v>
      </c>
      <c r="J8" s="17"/>
      <c r="K8" s="17"/>
    </row>
    <row r="9" spans="2:12" ht="19.5" customHeight="1" x14ac:dyDescent="0.3">
      <c r="B9" s="1"/>
      <c r="C9" s="1"/>
      <c r="D9" s="1"/>
      <c r="E9" s="1"/>
      <c r="F9" s="1"/>
      <c r="G9" s="1"/>
      <c r="H9" s="1"/>
      <c r="I9" s="17" t="s">
        <v>191</v>
      </c>
      <c r="J9" s="17"/>
      <c r="K9" s="17"/>
    </row>
    <row r="10" spans="2:12" ht="12.75" customHeight="1" x14ac:dyDescent="0.25"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2:12" ht="2.25" customHeight="1" x14ac:dyDescent="0.25"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2:12" ht="36.75" customHeight="1" x14ac:dyDescent="0.25">
      <c r="B12" s="126" t="s">
        <v>192</v>
      </c>
      <c r="C12" s="127"/>
      <c r="D12" s="127"/>
      <c r="E12" s="127"/>
      <c r="F12" s="127"/>
      <c r="G12" s="127"/>
      <c r="H12" s="127"/>
      <c r="I12" s="127"/>
      <c r="J12" s="127"/>
      <c r="K12" s="127"/>
      <c r="L12" s="127"/>
    </row>
    <row r="13" spans="2:12" ht="7.5" customHeight="1" x14ac:dyDescent="0.25">
      <c r="B13" s="128"/>
      <c r="C13" s="129"/>
      <c r="D13" s="129"/>
      <c r="E13" s="129"/>
      <c r="F13" s="129"/>
      <c r="G13" s="129"/>
      <c r="H13" s="129"/>
      <c r="I13" s="129"/>
      <c r="J13" s="129"/>
      <c r="K13" s="129"/>
      <c r="L13" s="129"/>
    </row>
    <row r="14" spans="2:12" ht="13.5" customHeight="1" x14ac:dyDescent="0.25">
      <c r="B14" s="2" t="s">
        <v>0</v>
      </c>
      <c r="C14" s="3"/>
      <c r="D14" s="3"/>
      <c r="E14" s="3"/>
      <c r="F14" s="3"/>
      <c r="G14" s="3"/>
      <c r="H14" s="3"/>
      <c r="I14" s="3"/>
      <c r="J14" s="3"/>
      <c r="K14" s="3"/>
      <c r="L14" s="3"/>
    </row>
    <row r="15" spans="2:12" ht="17.25" customHeight="1" x14ac:dyDescent="0.25">
      <c r="B15" s="1" t="s">
        <v>1</v>
      </c>
      <c r="C15" s="1"/>
      <c r="D15" s="1"/>
      <c r="E15" s="1"/>
      <c r="F15" s="1"/>
      <c r="G15" s="1"/>
      <c r="H15" s="1"/>
      <c r="I15" s="1"/>
      <c r="J15" s="1"/>
      <c r="K15" s="1"/>
      <c r="L15" s="1" t="s">
        <v>2</v>
      </c>
    </row>
    <row r="16" spans="2:12" ht="12.75" customHeight="1" x14ac:dyDescent="0.2">
      <c r="B16" s="130" t="s">
        <v>3</v>
      </c>
      <c r="C16" s="130" t="s">
        <v>4</v>
      </c>
      <c r="D16" s="130" t="s">
        <v>5</v>
      </c>
      <c r="E16" s="130" t="s">
        <v>6</v>
      </c>
      <c r="F16" s="130" t="s">
        <v>7</v>
      </c>
      <c r="G16" s="130" t="s">
        <v>8</v>
      </c>
      <c r="H16" s="110"/>
      <c r="I16" s="133" t="s">
        <v>9</v>
      </c>
      <c r="J16" s="133" t="s">
        <v>10</v>
      </c>
      <c r="K16" s="136" t="s">
        <v>11</v>
      </c>
      <c r="L16" s="137"/>
    </row>
    <row r="17" spans="1:13" ht="12.75" customHeight="1" x14ac:dyDescent="0.2">
      <c r="B17" s="131"/>
      <c r="C17" s="131"/>
      <c r="D17" s="131"/>
      <c r="E17" s="131"/>
      <c r="F17" s="131"/>
      <c r="G17" s="131"/>
      <c r="H17" s="111"/>
      <c r="I17" s="134"/>
      <c r="J17" s="134"/>
      <c r="K17" s="130" t="s">
        <v>12</v>
      </c>
      <c r="L17" s="130" t="s">
        <v>13</v>
      </c>
    </row>
    <row r="18" spans="1:13" ht="12.75" customHeight="1" x14ac:dyDescent="0.2">
      <c r="B18" s="131"/>
      <c r="C18" s="131"/>
      <c r="D18" s="131"/>
      <c r="E18" s="131"/>
      <c r="F18" s="131"/>
      <c r="G18" s="131"/>
      <c r="H18" s="111"/>
      <c r="I18" s="134"/>
      <c r="J18" s="134"/>
      <c r="K18" s="131"/>
      <c r="L18" s="131"/>
    </row>
    <row r="19" spans="1:13" ht="44.25" customHeight="1" x14ac:dyDescent="0.2">
      <c r="B19" s="132"/>
      <c r="C19" s="132"/>
      <c r="D19" s="132"/>
      <c r="E19" s="132"/>
      <c r="F19" s="132"/>
      <c r="G19" s="132"/>
      <c r="H19" s="112"/>
      <c r="I19" s="135"/>
      <c r="J19" s="135"/>
      <c r="K19" s="132"/>
      <c r="L19" s="132"/>
    </row>
    <row r="20" spans="1:13" ht="12.75" customHeight="1" x14ac:dyDescent="0.2">
      <c r="B20" s="4">
        <v>1</v>
      </c>
      <c r="C20" s="4">
        <v>2</v>
      </c>
      <c r="D20" s="4">
        <v>3</v>
      </c>
      <c r="E20" s="4">
        <v>4</v>
      </c>
      <c r="F20" s="4">
        <v>5</v>
      </c>
      <c r="G20" s="4">
        <v>6</v>
      </c>
      <c r="H20" s="4"/>
      <c r="I20" s="4">
        <v>7</v>
      </c>
      <c r="J20" s="4">
        <v>8</v>
      </c>
      <c r="K20" s="4">
        <v>9</v>
      </c>
      <c r="L20" s="4">
        <v>10</v>
      </c>
    </row>
    <row r="21" spans="1:13" ht="27.75" customHeight="1" x14ac:dyDescent="0.2">
      <c r="B21" s="5" t="s">
        <v>14</v>
      </c>
      <c r="C21" s="6"/>
      <c r="D21" s="7"/>
      <c r="E21" s="8" t="s">
        <v>15</v>
      </c>
      <c r="F21" s="9"/>
      <c r="G21" s="9"/>
      <c r="H21" s="9"/>
      <c r="I21" s="66">
        <f>SUM(I22:I54)</f>
        <v>119627893.03999999</v>
      </c>
      <c r="J21" s="66">
        <f t="shared" ref="J21:L21" si="0">SUM(J22:J54)</f>
        <v>62553808.289999999</v>
      </c>
      <c r="K21" s="66">
        <f t="shared" si="0"/>
        <v>57074084.75</v>
      </c>
      <c r="L21" s="66">
        <f t="shared" si="0"/>
        <v>55942163.699999996</v>
      </c>
    </row>
    <row r="22" spans="1:13" ht="77.25" customHeight="1" x14ac:dyDescent="0.2">
      <c r="A22">
        <v>1</v>
      </c>
      <c r="B22" s="10" t="s">
        <v>16</v>
      </c>
      <c r="C22" s="10" t="s">
        <v>17</v>
      </c>
      <c r="D22" s="11" t="s">
        <v>18</v>
      </c>
      <c r="E22" s="12" t="s">
        <v>19</v>
      </c>
      <c r="F22" s="22" t="s">
        <v>233</v>
      </c>
      <c r="G22" s="31" t="s">
        <v>264</v>
      </c>
      <c r="H22" s="31"/>
      <c r="I22" s="54">
        <f>J22+K22</f>
        <v>247600</v>
      </c>
      <c r="J22" s="54">
        <f>348700-101100</f>
        <v>247600</v>
      </c>
      <c r="K22" s="54"/>
      <c r="L22" s="54"/>
    </row>
    <row r="23" spans="1:13" ht="67.5" customHeight="1" x14ac:dyDescent="0.2">
      <c r="A23">
        <v>2</v>
      </c>
      <c r="B23" s="10" t="s">
        <v>20</v>
      </c>
      <c r="C23" s="10" t="s">
        <v>21</v>
      </c>
      <c r="D23" s="11" t="s">
        <v>22</v>
      </c>
      <c r="E23" s="12" t="s">
        <v>23</v>
      </c>
      <c r="F23" s="146" t="s">
        <v>24</v>
      </c>
      <c r="G23" s="125" t="s">
        <v>257</v>
      </c>
      <c r="H23" s="106"/>
      <c r="I23" s="54">
        <f t="shared" ref="I23:I35" si="1">J23+K23</f>
        <v>17001090</v>
      </c>
      <c r="J23" s="46">
        <f>9370090+171000+375000+80000-5000-740000</f>
        <v>9251090</v>
      </c>
      <c r="K23" s="54">
        <f>L23</f>
        <v>7750000</v>
      </c>
      <c r="L23" s="54">
        <f>2500000+5250000</f>
        <v>7750000</v>
      </c>
    </row>
    <row r="24" spans="1:13" ht="75.75" customHeight="1" x14ac:dyDescent="0.2">
      <c r="B24" s="10" t="s">
        <v>25</v>
      </c>
      <c r="C24" s="10" t="s">
        <v>26</v>
      </c>
      <c r="D24" s="11" t="s">
        <v>27</v>
      </c>
      <c r="E24" s="12" t="s">
        <v>28</v>
      </c>
      <c r="F24" s="147"/>
      <c r="G24" s="124"/>
      <c r="H24" s="105"/>
      <c r="I24" s="54">
        <f t="shared" si="1"/>
        <v>2037400</v>
      </c>
      <c r="J24" s="46">
        <f>1587400+375000-375000+450000</f>
        <v>2037400</v>
      </c>
      <c r="K24" s="54">
        <v>0</v>
      </c>
      <c r="L24" s="54">
        <v>0</v>
      </c>
    </row>
    <row r="25" spans="1:13" ht="67.5" customHeight="1" x14ac:dyDescent="0.2">
      <c r="A25">
        <v>3</v>
      </c>
      <c r="B25" s="10" t="s">
        <v>29</v>
      </c>
      <c r="C25" s="10" t="s">
        <v>30</v>
      </c>
      <c r="D25" s="11" t="s">
        <v>31</v>
      </c>
      <c r="E25" s="12" t="s">
        <v>32</v>
      </c>
      <c r="F25" s="22" t="s">
        <v>156</v>
      </c>
      <c r="G25" s="31" t="s">
        <v>246</v>
      </c>
      <c r="H25" s="22"/>
      <c r="I25" s="54">
        <f t="shared" si="1"/>
        <v>367308</v>
      </c>
      <c r="J25" s="46">
        <f>400000-32692</f>
        <v>367308</v>
      </c>
      <c r="K25" s="54">
        <v>0</v>
      </c>
      <c r="L25" s="54">
        <v>0</v>
      </c>
      <c r="M25" s="95"/>
    </row>
    <row r="26" spans="1:13" ht="37.5" customHeight="1" x14ac:dyDescent="0.2">
      <c r="B26" s="10" t="s">
        <v>34</v>
      </c>
      <c r="C26" s="10" t="s">
        <v>35</v>
      </c>
      <c r="D26" s="11" t="s">
        <v>36</v>
      </c>
      <c r="E26" s="12" t="s">
        <v>37</v>
      </c>
      <c r="F26" s="146" t="s">
        <v>24</v>
      </c>
      <c r="G26" s="125" t="s">
        <v>247</v>
      </c>
      <c r="H26" s="107"/>
      <c r="I26" s="54">
        <f t="shared" si="1"/>
        <v>234030</v>
      </c>
      <c r="J26" s="46">
        <v>234030</v>
      </c>
      <c r="K26" s="54">
        <v>0</v>
      </c>
      <c r="L26" s="54">
        <v>0</v>
      </c>
    </row>
    <row r="27" spans="1:13" ht="37.5" customHeight="1" x14ac:dyDescent="0.2">
      <c r="B27" s="10" t="s">
        <v>38</v>
      </c>
      <c r="C27" s="10" t="s">
        <v>39</v>
      </c>
      <c r="D27" s="11" t="s">
        <v>27</v>
      </c>
      <c r="E27" s="12" t="s">
        <v>40</v>
      </c>
      <c r="F27" s="148"/>
      <c r="G27" s="123"/>
      <c r="H27" s="108"/>
      <c r="I27" s="54">
        <f t="shared" si="1"/>
        <v>833880</v>
      </c>
      <c r="J27" s="46">
        <f>828880+5000</f>
        <v>833880</v>
      </c>
      <c r="K27" s="54">
        <v>0</v>
      </c>
      <c r="L27" s="54">
        <v>0</v>
      </c>
    </row>
    <row r="28" spans="1:13" ht="30.75" customHeight="1" x14ac:dyDescent="0.2">
      <c r="B28" s="10" t="s">
        <v>41</v>
      </c>
      <c r="C28" s="10" t="s">
        <v>42</v>
      </c>
      <c r="D28" s="11" t="s">
        <v>43</v>
      </c>
      <c r="E28" s="12" t="s">
        <v>44</v>
      </c>
      <c r="F28" s="147"/>
      <c r="G28" s="124"/>
      <c r="H28" s="109"/>
      <c r="I28" s="54">
        <f t="shared" si="1"/>
        <v>149600</v>
      </c>
      <c r="J28" s="46">
        <v>149600</v>
      </c>
      <c r="K28" s="54">
        <v>0</v>
      </c>
      <c r="L28" s="54">
        <v>0</v>
      </c>
    </row>
    <row r="29" spans="1:13" ht="72" customHeight="1" x14ac:dyDescent="0.2">
      <c r="B29" s="10" t="s">
        <v>45</v>
      </c>
      <c r="C29" s="10" t="s">
        <v>46</v>
      </c>
      <c r="D29" s="11" t="s">
        <v>43</v>
      </c>
      <c r="E29" s="12" t="s">
        <v>47</v>
      </c>
      <c r="F29" s="22" t="s">
        <v>33</v>
      </c>
      <c r="G29" s="31" t="s">
        <v>248</v>
      </c>
      <c r="H29" s="22"/>
      <c r="I29" s="54">
        <f t="shared" si="1"/>
        <v>382692</v>
      </c>
      <c r="J29" s="46">
        <f>350000+32692</f>
        <v>382692</v>
      </c>
      <c r="K29" s="54">
        <v>0</v>
      </c>
      <c r="L29" s="54">
        <v>0</v>
      </c>
    </row>
    <row r="30" spans="1:13" ht="54.75" customHeight="1" x14ac:dyDescent="0.2">
      <c r="A30">
        <v>4</v>
      </c>
      <c r="B30" s="10" t="s">
        <v>48</v>
      </c>
      <c r="C30" s="10" t="s">
        <v>49</v>
      </c>
      <c r="D30" s="11" t="s">
        <v>50</v>
      </c>
      <c r="E30" s="12" t="s">
        <v>51</v>
      </c>
      <c r="F30" s="22" t="s">
        <v>159</v>
      </c>
      <c r="G30" s="31" t="s">
        <v>161</v>
      </c>
      <c r="H30" s="22"/>
      <c r="I30" s="54">
        <f t="shared" si="1"/>
        <v>50000</v>
      </c>
      <c r="J30" s="54">
        <v>50000</v>
      </c>
      <c r="K30" s="54"/>
      <c r="L30" s="54"/>
    </row>
    <row r="31" spans="1:13" ht="66" customHeight="1" x14ac:dyDescent="0.2">
      <c r="A31">
        <v>5</v>
      </c>
      <c r="B31" s="91" t="s">
        <v>210</v>
      </c>
      <c r="C31" s="33">
        <v>6011</v>
      </c>
      <c r="D31" s="34" t="s">
        <v>212</v>
      </c>
      <c r="E31" s="35" t="s">
        <v>213</v>
      </c>
      <c r="F31" s="92" t="s">
        <v>224</v>
      </c>
      <c r="G31" s="36" t="s">
        <v>260</v>
      </c>
      <c r="H31" s="36"/>
      <c r="I31" s="93">
        <f t="shared" si="1"/>
        <v>481900</v>
      </c>
      <c r="J31" s="93"/>
      <c r="K31" s="93">
        <f>69900+70000+342000</f>
        <v>481900</v>
      </c>
      <c r="L31" s="93">
        <f>K31</f>
        <v>481900</v>
      </c>
    </row>
    <row r="32" spans="1:13" ht="60" customHeight="1" x14ac:dyDescent="0.2">
      <c r="A32">
        <v>6</v>
      </c>
      <c r="B32" s="62" t="s">
        <v>210</v>
      </c>
      <c r="C32" s="62" t="s">
        <v>211</v>
      </c>
      <c r="D32" s="63" t="s">
        <v>212</v>
      </c>
      <c r="E32" s="64" t="s">
        <v>213</v>
      </c>
      <c r="F32" s="65" t="s">
        <v>214</v>
      </c>
      <c r="G32" s="31" t="s">
        <v>223</v>
      </c>
      <c r="H32" s="31"/>
      <c r="I32" s="54">
        <f>J32+K32</f>
        <v>100000</v>
      </c>
      <c r="J32" s="46">
        <v>0</v>
      </c>
      <c r="K32" s="46">
        <v>100000</v>
      </c>
      <c r="L32" s="54">
        <v>100000</v>
      </c>
    </row>
    <row r="33" spans="1:13" ht="65.25" customHeight="1" x14ac:dyDescent="0.2">
      <c r="A33">
        <v>7</v>
      </c>
      <c r="B33" s="10" t="s">
        <v>52</v>
      </c>
      <c r="C33" s="10" t="s">
        <v>53</v>
      </c>
      <c r="D33" s="11" t="s">
        <v>54</v>
      </c>
      <c r="E33" s="12" t="s">
        <v>55</v>
      </c>
      <c r="F33" s="24" t="s">
        <v>56</v>
      </c>
      <c r="G33" s="31" t="s">
        <v>204</v>
      </c>
      <c r="H33" s="31"/>
      <c r="I33" s="54">
        <f t="shared" si="1"/>
        <v>1186050</v>
      </c>
      <c r="J33" s="46">
        <f>258700+447350+1500000-1500000</f>
        <v>706050</v>
      </c>
      <c r="K33" s="46">
        <v>480000</v>
      </c>
      <c r="L33" s="54">
        <v>0</v>
      </c>
    </row>
    <row r="34" spans="1:13" ht="65.25" customHeight="1" x14ac:dyDescent="0.2">
      <c r="B34" s="10" t="s">
        <v>57</v>
      </c>
      <c r="C34" s="10" t="s">
        <v>58</v>
      </c>
      <c r="D34" s="11" t="s">
        <v>54</v>
      </c>
      <c r="E34" s="12" t="s">
        <v>59</v>
      </c>
      <c r="F34" s="24" t="s">
        <v>56</v>
      </c>
      <c r="G34" s="31" t="s">
        <v>215</v>
      </c>
      <c r="H34" s="51"/>
      <c r="I34" s="55">
        <f t="shared" si="1"/>
        <v>1500000</v>
      </c>
      <c r="J34" s="46">
        <v>1500000</v>
      </c>
      <c r="K34" s="54">
        <v>0</v>
      </c>
      <c r="L34" s="54">
        <v>0</v>
      </c>
      <c r="M34" s="95"/>
    </row>
    <row r="35" spans="1:13" ht="63" customHeight="1" x14ac:dyDescent="0.2">
      <c r="A35">
        <v>8</v>
      </c>
      <c r="B35" s="10" t="s">
        <v>57</v>
      </c>
      <c r="C35" s="10" t="s">
        <v>58</v>
      </c>
      <c r="D35" s="11" t="s">
        <v>54</v>
      </c>
      <c r="E35" s="12" t="s">
        <v>59</v>
      </c>
      <c r="F35" s="23" t="s">
        <v>60</v>
      </c>
      <c r="G35" s="31" t="s">
        <v>231</v>
      </c>
      <c r="H35" s="31"/>
      <c r="I35" s="54">
        <f t="shared" si="1"/>
        <v>6467642</v>
      </c>
      <c r="J35" s="67">
        <f>5822450+645192</f>
        <v>6467642</v>
      </c>
      <c r="K35" s="67">
        <v>0</v>
      </c>
      <c r="L35" s="54">
        <v>0</v>
      </c>
    </row>
    <row r="36" spans="1:13" ht="90.75" customHeight="1" x14ac:dyDescent="0.25">
      <c r="A36">
        <v>9</v>
      </c>
      <c r="B36" s="19" t="s">
        <v>61</v>
      </c>
      <c r="C36" s="10" t="s">
        <v>62</v>
      </c>
      <c r="D36" s="11" t="s">
        <v>54</v>
      </c>
      <c r="E36" s="12" t="s">
        <v>63</v>
      </c>
      <c r="F36" s="23" t="s">
        <v>64</v>
      </c>
      <c r="G36" s="31" t="s">
        <v>232</v>
      </c>
      <c r="H36" s="31"/>
      <c r="I36" s="54">
        <f>J36+K36</f>
        <v>24678000</v>
      </c>
      <c r="J36" s="54">
        <f>24800000+200000-664000+300000</f>
        <v>24636000</v>
      </c>
      <c r="K36" s="68">
        <v>42000</v>
      </c>
      <c r="L36" s="69">
        <v>42000</v>
      </c>
    </row>
    <row r="37" spans="1:13" ht="47.25" customHeight="1" x14ac:dyDescent="0.2">
      <c r="A37">
        <v>10</v>
      </c>
      <c r="B37" s="19" t="s">
        <v>61</v>
      </c>
      <c r="C37" s="19" t="s">
        <v>62</v>
      </c>
      <c r="D37" s="120" t="s">
        <v>54</v>
      </c>
      <c r="E37" s="30" t="s">
        <v>63</v>
      </c>
      <c r="F37" s="24" t="s">
        <v>165</v>
      </c>
      <c r="G37" s="31" t="s">
        <v>195</v>
      </c>
      <c r="H37" s="31"/>
      <c r="I37" s="54">
        <f t="shared" ref="I37:I49" si="2">J37+K37</f>
        <v>800000</v>
      </c>
      <c r="J37" s="54">
        <f>664000+136000-367845.9</f>
        <v>432154.1</v>
      </c>
      <c r="K37" s="54">
        <f>300000-300000+367845.9</f>
        <v>367845.9</v>
      </c>
      <c r="L37" s="54">
        <f>K37</f>
        <v>367845.9</v>
      </c>
    </row>
    <row r="38" spans="1:13" ht="69.75" customHeight="1" x14ac:dyDescent="0.2">
      <c r="A38">
        <v>11</v>
      </c>
      <c r="B38" s="41" t="s">
        <v>218</v>
      </c>
      <c r="C38" s="41" t="s">
        <v>219</v>
      </c>
      <c r="D38" s="34" t="s">
        <v>212</v>
      </c>
      <c r="E38" s="35" t="s">
        <v>220</v>
      </c>
      <c r="F38" s="35" t="s">
        <v>221</v>
      </c>
      <c r="G38" s="36" t="s">
        <v>229</v>
      </c>
      <c r="H38" s="113"/>
      <c r="I38" s="54">
        <f t="shared" ref="I38" si="3">J38+K38</f>
        <v>330000</v>
      </c>
      <c r="J38" s="54">
        <v>0</v>
      </c>
      <c r="K38" s="54">
        <v>330000</v>
      </c>
      <c r="L38" s="54">
        <f>K38</f>
        <v>330000</v>
      </c>
    </row>
    <row r="39" spans="1:13" ht="61.5" customHeight="1" x14ac:dyDescent="0.2">
      <c r="A39">
        <v>12</v>
      </c>
      <c r="B39" s="10" t="s">
        <v>65</v>
      </c>
      <c r="C39" s="10" t="s">
        <v>66</v>
      </c>
      <c r="D39" s="11" t="s">
        <v>67</v>
      </c>
      <c r="E39" s="12" t="s">
        <v>68</v>
      </c>
      <c r="F39" s="24" t="s">
        <v>160</v>
      </c>
      <c r="G39" s="31" t="s">
        <v>199</v>
      </c>
      <c r="H39" s="106"/>
      <c r="I39" s="70">
        <f t="shared" si="2"/>
        <v>1020401.24</v>
      </c>
      <c r="J39" s="70">
        <f>500000+322880.19</f>
        <v>822880.19</v>
      </c>
      <c r="K39" s="70">
        <f>5000+192521.05</f>
        <v>197521.05</v>
      </c>
      <c r="L39" s="70">
        <v>0</v>
      </c>
    </row>
    <row r="40" spans="1:13" ht="61.5" customHeight="1" x14ac:dyDescent="0.2">
      <c r="B40" s="10" t="s">
        <v>166</v>
      </c>
      <c r="C40" s="10">
        <v>7322</v>
      </c>
      <c r="D40" s="11" t="s">
        <v>69</v>
      </c>
      <c r="E40" s="26" t="s">
        <v>167</v>
      </c>
      <c r="F40" s="24" t="s">
        <v>24</v>
      </c>
      <c r="G40" s="90" t="s">
        <v>261</v>
      </c>
      <c r="H40" s="114"/>
      <c r="I40" s="53">
        <f t="shared" si="2"/>
        <v>1591200</v>
      </c>
      <c r="J40" s="71">
        <v>0</v>
      </c>
      <c r="K40" s="53">
        <f>167200+400000+124000+900000</f>
        <v>1591200</v>
      </c>
      <c r="L40" s="53">
        <f>K40</f>
        <v>1591200</v>
      </c>
    </row>
    <row r="41" spans="1:13" ht="105" customHeight="1" x14ac:dyDescent="0.2">
      <c r="A41">
        <v>13</v>
      </c>
      <c r="B41" s="10">
        <v>217340</v>
      </c>
      <c r="C41" s="10">
        <v>7340</v>
      </c>
      <c r="D41" s="11" t="s">
        <v>69</v>
      </c>
      <c r="E41" s="52" t="s">
        <v>201</v>
      </c>
      <c r="F41" s="24" t="s">
        <v>202</v>
      </c>
      <c r="G41" s="51" t="s">
        <v>239</v>
      </c>
      <c r="H41" s="115"/>
      <c r="I41" s="53">
        <f t="shared" si="2"/>
        <v>1426000</v>
      </c>
      <c r="J41" s="53">
        <v>22360</v>
      </c>
      <c r="K41" s="53">
        <f>3000000+126000-1500000-22360-200000</f>
        <v>1403640</v>
      </c>
      <c r="L41" s="53">
        <f>K41</f>
        <v>1403640</v>
      </c>
    </row>
    <row r="42" spans="1:13" ht="65.25" customHeight="1" x14ac:dyDescent="0.2">
      <c r="A42">
        <v>14</v>
      </c>
      <c r="B42" s="97" t="s">
        <v>70</v>
      </c>
      <c r="C42" s="97" t="s">
        <v>71</v>
      </c>
      <c r="D42" s="98" t="s">
        <v>69</v>
      </c>
      <c r="E42" s="99" t="s">
        <v>72</v>
      </c>
      <c r="F42" s="24" t="s">
        <v>73</v>
      </c>
      <c r="G42" s="51" t="s">
        <v>203</v>
      </c>
      <c r="H42" s="115"/>
      <c r="I42" s="100">
        <f t="shared" si="2"/>
        <v>937600</v>
      </c>
      <c r="J42" s="72">
        <v>0</v>
      </c>
      <c r="K42" s="47">
        <f>537600+400000</f>
        <v>937600</v>
      </c>
      <c r="L42" s="47">
        <v>937600</v>
      </c>
    </row>
    <row r="43" spans="1:13" ht="65.25" customHeight="1" x14ac:dyDescent="0.2">
      <c r="B43" s="97" t="s">
        <v>234</v>
      </c>
      <c r="C43" s="101" t="s">
        <v>235</v>
      </c>
      <c r="D43" s="102" t="s">
        <v>170</v>
      </c>
      <c r="E43" s="103" t="s">
        <v>236</v>
      </c>
      <c r="F43" s="22" t="s">
        <v>233</v>
      </c>
      <c r="G43" s="51" t="s">
        <v>238</v>
      </c>
      <c r="H43" s="115"/>
      <c r="I43" s="53">
        <v>148000</v>
      </c>
      <c r="J43" s="53">
        <v>148000</v>
      </c>
      <c r="K43" s="46"/>
      <c r="L43" s="46"/>
    </row>
    <row r="44" spans="1:13" ht="65.25" customHeight="1" x14ac:dyDescent="0.2">
      <c r="B44" s="97" t="s">
        <v>234</v>
      </c>
      <c r="C44" s="101" t="s">
        <v>235</v>
      </c>
      <c r="D44" s="102" t="s">
        <v>170</v>
      </c>
      <c r="E44" s="103" t="s">
        <v>236</v>
      </c>
      <c r="F44" s="96" t="s">
        <v>202</v>
      </c>
      <c r="G44" s="51" t="s">
        <v>237</v>
      </c>
      <c r="H44" s="115"/>
      <c r="I44" s="53">
        <v>200000</v>
      </c>
      <c r="J44" s="53">
        <v>200000</v>
      </c>
      <c r="K44" s="46"/>
      <c r="L44" s="46"/>
    </row>
    <row r="45" spans="1:13" ht="68.25" customHeight="1" x14ac:dyDescent="0.2">
      <c r="B45" s="27" t="s">
        <v>185</v>
      </c>
      <c r="C45" s="27" t="s">
        <v>186</v>
      </c>
      <c r="D45" s="28" t="s">
        <v>170</v>
      </c>
      <c r="E45" s="29" t="s">
        <v>187</v>
      </c>
      <c r="F45" s="24" t="s">
        <v>73</v>
      </c>
      <c r="G45" s="51" t="s">
        <v>200</v>
      </c>
      <c r="H45" s="115"/>
      <c r="I45" s="53">
        <f t="shared" si="2"/>
        <v>200000</v>
      </c>
      <c r="J45" s="53">
        <v>0</v>
      </c>
      <c r="K45" s="46">
        <v>200000</v>
      </c>
      <c r="L45" s="46">
        <v>200000</v>
      </c>
    </row>
    <row r="46" spans="1:13" ht="82.5" customHeight="1" x14ac:dyDescent="0.2">
      <c r="A46">
        <v>15</v>
      </c>
      <c r="B46" s="10" t="s">
        <v>74</v>
      </c>
      <c r="C46" s="10" t="s">
        <v>75</v>
      </c>
      <c r="D46" s="11" t="s">
        <v>76</v>
      </c>
      <c r="E46" s="12" t="s">
        <v>77</v>
      </c>
      <c r="F46" s="23" t="s">
        <v>78</v>
      </c>
      <c r="G46" s="31" t="s">
        <v>262</v>
      </c>
      <c r="H46" s="105"/>
      <c r="I46" s="67">
        <f t="shared" si="2"/>
        <v>41907977.799999997</v>
      </c>
      <c r="J46" s="48">
        <f>10500000-840000+1000000</f>
        <v>10660000</v>
      </c>
      <c r="K46" s="67">
        <f>32598500-1280522.2-660000+4200000-1610000-2000000</f>
        <v>31247977.799999997</v>
      </c>
      <c r="L46" s="67">
        <f>K46</f>
        <v>31247977.799999997</v>
      </c>
    </row>
    <row r="47" spans="1:13" ht="54" customHeight="1" x14ac:dyDescent="0.2">
      <c r="A47">
        <v>16</v>
      </c>
      <c r="B47" s="27" t="s">
        <v>168</v>
      </c>
      <c r="C47" s="27" t="s">
        <v>169</v>
      </c>
      <c r="D47" s="28" t="s">
        <v>170</v>
      </c>
      <c r="E47" s="29" t="s">
        <v>171</v>
      </c>
      <c r="F47" s="23" t="s">
        <v>172</v>
      </c>
      <c r="G47" s="31" t="s">
        <v>263</v>
      </c>
      <c r="H47" s="105"/>
      <c r="I47" s="67">
        <f t="shared" si="2"/>
        <v>7150000</v>
      </c>
      <c r="J47" s="49">
        <v>0</v>
      </c>
      <c r="K47" s="54">
        <f>3550000+3600000</f>
        <v>7150000</v>
      </c>
      <c r="L47" s="54">
        <f>K47</f>
        <v>7150000</v>
      </c>
    </row>
    <row r="48" spans="1:13" ht="93" customHeight="1" x14ac:dyDescent="0.2">
      <c r="A48">
        <v>17</v>
      </c>
      <c r="B48" s="19" t="s">
        <v>79</v>
      </c>
      <c r="C48" s="10" t="s">
        <v>80</v>
      </c>
      <c r="D48" s="11" t="s">
        <v>81</v>
      </c>
      <c r="E48" s="12" t="s">
        <v>82</v>
      </c>
      <c r="F48" s="22" t="s">
        <v>162</v>
      </c>
      <c r="G48" s="31" t="s">
        <v>250</v>
      </c>
      <c r="H48" s="22"/>
      <c r="I48" s="54">
        <f t="shared" si="2"/>
        <v>650500</v>
      </c>
      <c r="J48" s="54">
        <f>450500+200000</f>
        <v>650500</v>
      </c>
      <c r="K48" s="54"/>
      <c r="L48" s="54"/>
    </row>
    <row r="49" spans="1:13" ht="54" customHeight="1" x14ac:dyDescent="0.2">
      <c r="A49">
        <v>18</v>
      </c>
      <c r="B49" s="19" t="s">
        <v>79</v>
      </c>
      <c r="C49" s="10" t="s">
        <v>80</v>
      </c>
      <c r="D49" s="11" t="s">
        <v>81</v>
      </c>
      <c r="E49" s="30" t="s">
        <v>82</v>
      </c>
      <c r="F49" s="31" t="s">
        <v>173</v>
      </c>
      <c r="G49" s="31" t="s">
        <v>206</v>
      </c>
      <c r="H49" s="31"/>
      <c r="I49" s="54">
        <f t="shared" si="2"/>
        <v>208000</v>
      </c>
      <c r="J49" s="54">
        <f>180000-180000</f>
        <v>0</v>
      </c>
      <c r="K49" s="54">
        <v>208000</v>
      </c>
      <c r="L49" s="54">
        <v>208000</v>
      </c>
    </row>
    <row r="50" spans="1:13" ht="66" customHeight="1" x14ac:dyDescent="0.2">
      <c r="A50">
        <v>19</v>
      </c>
      <c r="B50" s="14" t="s">
        <v>83</v>
      </c>
      <c r="C50" s="13">
        <v>8220</v>
      </c>
      <c r="D50" s="11" t="s">
        <v>84</v>
      </c>
      <c r="E50" s="12" t="s">
        <v>85</v>
      </c>
      <c r="F50" s="22" t="s">
        <v>86</v>
      </c>
      <c r="G50" s="31" t="s">
        <v>196</v>
      </c>
      <c r="H50" s="31"/>
      <c r="I50" s="54">
        <f>J50</f>
        <v>408000</v>
      </c>
      <c r="J50" s="54">
        <f>108000+300000</f>
        <v>408000</v>
      </c>
      <c r="K50" s="54"/>
      <c r="L50" s="54"/>
    </row>
    <row r="51" spans="1:13" ht="61.5" customHeight="1" x14ac:dyDescent="0.2">
      <c r="A51">
        <v>20</v>
      </c>
      <c r="B51" s="32" t="s">
        <v>174</v>
      </c>
      <c r="C51" s="33">
        <v>8240</v>
      </c>
      <c r="D51" s="34" t="s">
        <v>84</v>
      </c>
      <c r="E51" s="35" t="s">
        <v>175</v>
      </c>
      <c r="F51" s="36" t="s">
        <v>176</v>
      </c>
      <c r="G51" s="31" t="s">
        <v>258</v>
      </c>
      <c r="H51" s="31"/>
      <c r="I51" s="54">
        <f>J51+K51</f>
        <v>4629000</v>
      </c>
      <c r="J51" s="54">
        <f>300000+172000-200000+70000+204000</f>
        <v>546000</v>
      </c>
      <c r="K51" s="54">
        <f>2357000-70000+1796000</f>
        <v>4083000</v>
      </c>
      <c r="L51" s="54">
        <f>K51</f>
        <v>4083000</v>
      </c>
    </row>
    <row r="52" spans="1:13" ht="68.25" customHeight="1" x14ac:dyDescent="0.2">
      <c r="A52">
        <v>21</v>
      </c>
      <c r="B52" s="10" t="s">
        <v>87</v>
      </c>
      <c r="C52" s="10" t="s">
        <v>88</v>
      </c>
      <c r="D52" s="11" t="s">
        <v>89</v>
      </c>
      <c r="E52" s="12" t="s">
        <v>90</v>
      </c>
      <c r="F52" s="22" t="s">
        <v>91</v>
      </c>
      <c r="G52" s="31" t="s">
        <v>222</v>
      </c>
      <c r="H52" s="31"/>
      <c r="I52" s="54">
        <f>J52+K52</f>
        <v>454400</v>
      </c>
      <c r="J52" s="54">
        <v>0</v>
      </c>
      <c r="K52" s="54">
        <f>135400+319000</f>
        <v>454400</v>
      </c>
      <c r="L52" s="54">
        <v>0</v>
      </c>
    </row>
    <row r="53" spans="1:13" ht="84" customHeight="1" x14ac:dyDescent="0.25">
      <c r="A53">
        <v>22</v>
      </c>
      <c r="B53" s="10" t="s">
        <v>92</v>
      </c>
      <c r="C53" s="10" t="s">
        <v>93</v>
      </c>
      <c r="D53" s="11" t="s">
        <v>94</v>
      </c>
      <c r="E53" s="12" t="s">
        <v>95</v>
      </c>
      <c r="F53" s="15" t="s">
        <v>163</v>
      </c>
      <c r="G53" s="31" t="s">
        <v>230</v>
      </c>
      <c r="H53" s="31"/>
      <c r="I53" s="54">
        <f>J53+K53</f>
        <v>1609622</v>
      </c>
      <c r="J53" s="54">
        <f>1450000+68772+41850</f>
        <v>1560622</v>
      </c>
      <c r="K53" s="54">
        <f>L53</f>
        <v>49000</v>
      </c>
      <c r="L53" s="54">
        <v>49000</v>
      </c>
    </row>
    <row r="54" spans="1:13" ht="45" customHeight="1" x14ac:dyDescent="0.25">
      <c r="B54" s="56" t="s">
        <v>242</v>
      </c>
      <c r="C54" s="56" t="s">
        <v>208</v>
      </c>
      <c r="D54" s="57" t="s">
        <v>17</v>
      </c>
      <c r="E54" s="58" t="s">
        <v>209</v>
      </c>
      <c r="F54" s="15" t="s">
        <v>243</v>
      </c>
      <c r="G54" s="31" t="s">
        <v>255</v>
      </c>
      <c r="H54" s="31"/>
      <c r="I54" s="54">
        <f>J54</f>
        <v>240000</v>
      </c>
      <c r="J54" s="54">
        <v>240000</v>
      </c>
      <c r="K54" s="54"/>
      <c r="L54" s="54"/>
    </row>
    <row r="55" spans="1:13" ht="36" customHeight="1" x14ac:dyDescent="0.2">
      <c r="B55" s="5" t="s">
        <v>96</v>
      </c>
      <c r="C55" s="6"/>
      <c r="D55" s="7"/>
      <c r="E55" s="8" t="s">
        <v>97</v>
      </c>
      <c r="F55" s="25"/>
      <c r="G55" s="31"/>
      <c r="H55" s="31"/>
      <c r="I55" s="66">
        <f>SUM(I56:I64)</f>
        <v>7836260</v>
      </c>
      <c r="J55" s="66">
        <f t="shared" ref="J55:L55" si="4">SUM(J56:J64)</f>
        <v>7396260</v>
      </c>
      <c r="K55" s="66">
        <f t="shared" si="4"/>
        <v>440000</v>
      </c>
      <c r="L55" s="66">
        <f t="shared" si="4"/>
        <v>440000</v>
      </c>
    </row>
    <row r="56" spans="1:13" ht="39" customHeight="1" x14ac:dyDescent="0.2">
      <c r="A56">
        <v>1</v>
      </c>
      <c r="B56" s="10" t="s">
        <v>98</v>
      </c>
      <c r="C56" s="10" t="s">
        <v>99</v>
      </c>
      <c r="D56" s="11" t="s">
        <v>100</v>
      </c>
      <c r="E56" s="12" t="s">
        <v>101</v>
      </c>
      <c r="F56" s="138" t="s">
        <v>102</v>
      </c>
      <c r="G56" s="125" t="s">
        <v>249</v>
      </c>
      <c r="H56" s="106"/>
      <c r="I56" s="54">
        <f t="shared" ref="I56:I63" si="5">J56+K56</f>
        <v>69510</v>
      </c>
      <c r="J56" s="46">
        <f>60800+10000-1290</f>
        <v>69510</v>
      </c>
      <c r="K56" s="54">
        <v>0</v>
      </c>
      <c r="L56" s="54">
        <v>0</v>
      </c>
    </row>
    <row r="57" spans="1:13" ht="39" customHeight="1" x14ac:dyDescent="0.2">
      <c r="B57" s="10" t="s">
        <v>103</v>
      </c>
      <c r="C57" s="10" t="s">
        <v>104</v>
      </c>
      <c r="D57" s="11" t="s">
        <v>105</v>
      </c>
      <c r="E57" s="12" t="s">
        <v>106</v>
      </c>
      <c r="F57" s="140"/>
      <c r="G57" s="124"/>
      <c r="H57" s="105"/>
      <c r="I57" s="54">
        <f t="shared" si="5"/>
        <v>108500</v>
      </c>
      <c r="J57" s="46">
        <v>108500</v>
      </c>
      <c r="K57" s="54">
        <v>0</v>
      </c>
      <c r="L57" s="54">
        <v>0</v>
      </c>
      <c r="M57" s="95"/>
    </row>
    <row r="58" spans="1:13" ht="37.5" customHeight="1" x14ac:dyDescent="0.2">
      <c r="A58">
        <v>2</v>
      </c>
      <c r="B58" s="10" t="s">
        <v>107</v>
      </c>
      <c r="C58" s="10" t="s">
        <v>108</v>
      </c>
      <c r="D58" s="11" t="s">
        <v>105</v>
      </c>
      <c r="E58" s="12" t="s">
        <v>109</v>
      </c>
      <c r="F58" s="144" t="s">
        <v>155</v>
      </c>
      <c r="G58" s="125" t="s">
        <v>164</v>
      </c>
      <c r="H58" s="106"/>
      <c r="I58" s="54">
        <f t="shared" si="5"/>
        <v>150000</v>
      </c>
      <c r="J58" s="46">
        <f>300000-150000</f>
        <v>150000</v>
      </c>
      <c r="K58" s="54">
        <v>0</v>
      </c>
      <c r="L58" s="54">
        <v>0</v>
      </c>
      <c r="M58" s="16"/>
    </row>
    <row r="59" spans="1:13" ht="39" customHeight="1" x14ac:dyDescent="0.2">
      <c r="B59" s="10" t="s">
        <v>110</v>
      </c>
      <c r="C59" s="10" t="s">
        <v>111</v>
      </c>
      <c r="D59" s="11" t="s">
        <v>105</v>
      </c>
      <c r="E59" s="12" t="s">
        <v>112</v>
      </c>
      <c r="F59" s="145"/>
      <c r="G59" s="124"/>
      <c r="H59" s="105"/>
      <c r="I59" s="54">
        <f t="shared" si="5"/>
        <v>250000</v>
      </c>
      <c r="J59" s="46">
        <f>250000</f>
        <v>250000</v>
      </c>
      <c r="K59" s="54">
        <v>0</v>
      </c>
      <c r="L59" s="54">
        <v>0</v>
      </c>
    </row>
    <row r="60" spans="1:13" ht="70.5" customHeight="1" x14ac:dyDescent="0.2">
      <c r="B60" s="10" t="s">
        <v>113</v>
      </c>
      <c r="C60" s="10" t="s">
        <v>114</v>
      </c>
      <c r="D60" s="11" t="s">
        <v>115</v>
      </c>
      <c r="E60" s="12" t="s">
        <v>116</v>
      </c>
      <c r="F60" s="138" t="s">
        <v>102</v>
      </c>
      <c r="G60" s="125" t="s">
        <v>259</v>
      </c>
      <c r="H60" s="106"/>
      <c r="I60" s="54">
        <f t="shared" si="5"/>
        <v>625700</v>
      </c>
      <c r="J60" s="46">
        <f>455700+170000</f>
        <v>625700</v>
      </c>
      <c r="K60" s="54"/>
      <c r="L60" s="54"/>
    </row>
    <row r="61" spans="1:13" ht="67.5" customHeight="1" x14ac:dyDescent="0.2">
      <c r="B61" s="10" t="s">
        <v>117</v>
      </c>
      <c r="C61" s="10" t="s">
        <v>118</v>
      </c>
      <c r="D61" s="11" t="s">
        <v>119</v>
      </c>
      <c r="E61" s="12" t="s">
        <v>120</v>
      </c>
      <c r="F61" s="139"/>
      <c r="G61" s="123"/>
      <c r="H61" s="104"/>
      <c r="I61" s="54">
        <f t="shared" si="5"/>
        <v>270000</v>
      </c>
      <c r="J61" s="46">
        <f>70000+150000+50000</f>
        <v>270000</v>
      </c>
      <c r="K61" s="54">
        <v>0</v>
      </c>
      <c r="L61" s="54">
        <v>0</v>
      </c>
    </row>
    <row r="62" spans="1:13" ht="54.75" customHeight="1" x14ac:dyDescent="0.2">
      <c r="B62" s="10" t="s">
        <v>121</v>
      </c>
      <c r="C62" s="10" t="s">
        <v>122</v>
      </c>
      <c r="D62" s="11" t="s">
        <v>100</v>
      </c>
      <c r="E62" s="12" t="s">
        <v>123</v>
      </c>
      <c r="F62" s="139"/>
      <c r="G62" s="123"/>
      <c r="H62" s="104"/>
      <c r="I62" s="54">
        <f t="shared" si="5"/>
        <v>154000</v>
      </c>
      <c r="J62" s="46">
        <f>130000+24000</f>
        <v>154000</v>
      </c>
      <c r="K62" s="54">
        <v>0</v>
      </c>
      <c r="L62" s="54">
        <v>0</v>
      </c>
      <c r="M62" s="18"/>
    </row>
    <row r="63" spans="1:13" ht="32.25" customHeight="1" x14ac:dyDescent="0.2">
      <c r="B63" s="10" t="s">
        <v>124</v>
      </c>
      <c r="C63" s="10" t="s">
        <v>125</v>
      </c>
      <c r="D63" s="11" t="s">
        <v>126</v>
      </c>
      <c r="E63" s="12" t="s">
        <v>127</v>
      </c>
      <c r="F63" s="140"/>
      <c r="G63" s="123"/>
      <c r="H63" s="104"/>
      <c r="I63" s="54">
        <f t="shared" si="5"/>
        <v>6058550</v>
      </c>
      <c r="J63" s="46">
        <f>1500000+1000000+500000+300000+500000+500000+200000+490000-24000+463840-1290+190000</f>
        <v>5618550</v>
      </c>
      <c r="K63" s="54">
        <v>440000</v>
      </c>
      <c r="L63" s="54">
        <f>K63</f>
        <v>440000</v>
      </c>
      <c r="M63" s="94"/>
    </row>
    <row r="64" spans="1:13" ht="63.75" customHeight="1" x14ac:dyDescent="0.2">
      <c r="B64" s="56" t="s">
        <v>207</v>
      </c>
      <c r="C64" s="56" t="s">
        <v>208</v>
      </c>
      <c r="D64" s="57" t="s">
        <v>17</v>
      </c>
      <c r="E64" s="58" t="s">
        <v>209</v>
      </c>
      <c r="F64" s="59" t="s">
        <v>155</v>
      </c>
      <c r="G64" s="61" t="s">
        <v>164</v>
      </c>
      <c r="H64" s="115"/>
      <c r="I64" s="73">
        <f>J64</f>
        <v>150000</v>
      </c>
      <c r="J64" s="49">
        <f>100000+50000</f>
        <v>150000</v>
      </c>
      <c r="K64" s="54"/>
      <c r="L64" s="54"/>
    </row>
    <row r="65" spans="1:13" ht="34.5" customHeight="1" x14ac:dyDescent="0.2">
      <c r="B65" s="5" t="s">
        <v>128</v>
      </c>
      <c r="C65" s="6"/>
      <c r="D65" s="7"/>
      <c r="E65" s="8" t="s">
        <v>129</v>
      </c>
      <c r="F65" s="60"/>
      <c r="G65" s="61"/>
      <c r="H65" s="115"/>
      <c r="I65" s="74">
        <f>SUM(I66:I72)</f>
        <v>5097800</v>
      </c>
      <c r="J65" s="66">
        <f>SUM(J66:J72)</f>
        <v>5097800</v>
      </c>
      <c r="K65" s="66">
        <f>SUM(K66:K72)</f>
        <v>0</v>
      </c>
      <c r="L65" s="66">
        <f>SUM(L66:L72)</f>
        <v>0</v>
      </c>
    </row>
    <row r="66" spans="1:13" ht="27" customHeight="1" x14ac:dyDescent="0.2">
      <c r="B66" s="10" t="s">
        <v>130</v>
      </c>
      <c r="C66" s="10" t="s">
        <v>131</v>
      </c>
      <c r="D66" s="11" t="s">
        <v>50</v>
      </c>
      <c r="E66" s="12" t="s">
        <v>132</v>
      </c>
      <c r="F66" s="141" t="s">
        <v>133</v>
      </c>
      <c r="G66" s="123" t="s">
        <v>254</v>
      </c>
      <c r="H66" s="104"/>
      <c r="I66" s="54">
        <f t="shared" ref="I66:I72" si="6">J66+K66</f>
        <v>150000</v>
      </c>
      <c r="J66" s="54">
        <v>150000</v>
      </c>
      <c r="K66" s="54">
        <v>0</v>
      </c>
      <c r="L66" s="54">
        <v>0</v>
      </c>
    </row>
    <row r="67" spans="1:13" ht="35.25" customHeight="1" x14ac:dyDescent="0.2">
      <c r="B67" s="10" t="s">
        <v>134</v>
      </c>
      <c r="C67" s="10" t="s">
        <v>135</v>
      </c>
      <c r="D67" s="11" t="s">
        <v>136</v>
      </c>
      <c r="E67" s="12" t="s">
        <v>137</v>
      </c>
      <c r="F67" s="142"/>
      <c r="G67" s="123"/>
      <c r="H67" s="104"/>
      <c r="I67" s="54">
        <f t="shared" si="6"/>
        <v>378700</v>
      </c>
      <c r="J67" s="54">
        <v>378700</v>
      </c>
      <c r="K67" s="54">
        <v>0</v>
      </c>
      <c r="L67" s="54">
        <v>0</v>
      </c>
    </row>
    <row r="68" spans="1:13" ht="24.75" customHeight="1" x14ac:dyDescent="0.2">
      <c r="B68" s="10" t="s">
        <v>138</v>
      </c>
      <c r="C68" s="10" t="s">
        <v>139</v>
      </c>
      <c r="D68" s="11" t="s">
        <v>136</v>
      </c>
      <c r="E68" s="12" t="s">
        <v>140</v>
      </c>
      <c r="F68" s="142"/>
      <c r="G68" s="123"/>
      <c r="H68" s="104"/>
      <c r="I68" s="54">
        <f t="shared" si="6"/>
        <v>481100</v>
      </c>
      <c r="J68" s="46">
        <f>461100+20000</f>
        <v>481100</v>
      </c>
      <c r="K68" s="54">
        <v>0</v>
      </c>
      <c r="L68" s="54">
        <v>0</v>
      </c>
    </row>
    <row r="69" spans="1:13" ht="33" customHeight="1" x14ac:dyDescent="0.2">
      <c r="B69" s="10" t="s">
        <v>141</v>
      </c>
      <c r="C69" s="10" t="s">
        <v>142</v>
      </c>
      <c r="D69" s="11" t="s">
        <v>143</v>
      </c>
      <c r="E69" s="12" t="s">
        <v>144</v>
      </c>
      <c r="F69" s="142"/>
      <c r="G69" s="123"/>
      <c r="H69" s="104"/>
      <c r="I69" s="54">
        <f t="shared" si="6"/>
        <v>640000</v>
      </c>
      <c r="J69" s="46">
        <f>250000+60000+250000+50000+30000</f>
        <v>640000</v>
      </c>
      <c r="K69" s="54">
        <v>0</v>
      </c>
      <c r="L69" s="54">
        <v>0</v>
      </c>
    </row>
    <row r="70" spans="1:13" ht="39" customHeight="1" x14ac:dyDescent="0.2">
      <c r="A70">
        <v>1</v>
      </c>
      <c r="B70" s="10" t="s">
        <v>145</v>
      </c>
      <c r="C70" s="10" t="s">
        <v>146</v>
      </c>
      <c r="D70" s="11" t="s">
        <v>143</v>
      </c>
      <c r="E70" s="12" t="s">
        <v>147</v>
      </c>
      <c r="F70" s="142"/>
      <c r="G70" s="123"/>
      <c r="H70" s="104"/>
      <c r="I70" s="54">
        <f t="shared" si="6"/>
        <v>300000</v>
      </c>
      <c r="J70" s="46">
        <f>250000+50000</f>
        <v>300000</v>
      </c>
      <c r="K70" s="54">
        <v>0</v>
      </c>
      <c r="L70" s="54">
        <v>0</v>
      </c>
    </row>
    <row r="71" spans="1:13" ht="31.5" customHeight="1" x14ac:dyDescent="0.2">
      <c r="B71" s="10" t="s">
        <v>148</v>
      </c>
      <c r="C71" s="10" t="s">
        <v>149</v>
      </c>
      <c r="D71" s="11" t="s">
        <v>143</v>
      </c>
      <c r="E71" s="12" t="s">
        <v>150</v>
      </c>
      <c r="F71" s="142"/>
      <c r="G71" s="123"/>
      <c r="H71" s="104"/>
      <c r="I71" s="54">
        <f t="shared" si="6"/>
        <v>1753000</v>
      </c>
      <c r="J71" s="46">
        <v>1753000</v>
      </c>
      <c r="K71" s="54">
        <v>0</v>
      </c>
      <c r="L71" s="54">
        <v>0</v>
      </c>
    </row>
    <row r="72" spans="1:13" ht="38.25" customHeight="1" x14ac:dyDescent="0.2">
      <c r="B72" s="10" t="s">
        <v>151</v>
      </c>
      <c r="C72" s="10" t="s">
        <v>152</v>
      </c>
      <c r="D72" s="11" t="s">
        <v>143</v>
      </c>
      <c r="E72" s="12" t="s">
        <v>153</v>
      </c>
      <c r="F72" s="143"/>
      <c r="G72" s="124"/>
      <c r="H72" s="105"/>
      <c r="I72" s="54">
        <f t="shared" si="6"/>
        <v>1395000</v>
      </c>
      <c r="J72" s="46">
        <f>1183000+12000+200000</f>
        <v>1395000</v>
      </c>
      <c r="K72" s="54">
        <v>0</v>
      </c>
      <c r="L72" s="54">
        <v>0</v>
      </c>
    </row>
    <row r="73" spans="1:13" ht="38.25" customHeight="1" x14ac:dyDescent="0.2">
      <c r="B73" s="37" t="s">
        <v>177</v>
      </c>
      <c r="C73" s="38"/>
      <c r="D73" s="39"/>
      <c r="E73" s="40" t="s">
        <v>178</v>
      </c>
      <c r="F73" s="45"/>
      <c r="G73" s="77"/>
      <c r="H73" s="104"/>
      <c r="I73" s="75">
        <f>SUM(I74:I84)</f>
        <v>12321121</v>
      </c>
      <c r="J73" s="75">
        <f>SUM(J74:J84)</f>
        <v>7007278</v>
      </c>
      <c r="K73" s="75">
        <f>SUM(K74:K84)</f>
        <v>5313843</v>
      </c>
      <c r="L73" s="75">
        <f>SUM(L74:L84)</f>
        <v>5313843</v>
      </c>
    </row>
    <row r="74" spans="1:13" ht="63.75" customHeight="1" x14ac:dyDescent="0.2">
      <c r="A74">
        <v>1</v>
      </c>
      <c r="B74" s="41">
        <v>3719800</v>
      </c>
      <c r="C74" s="41">
        <v>9800</v>
      </c>
      <c r="D74" s="42" t="s">
        <v>17</v>
      </c>
      <c r="E74" s="35" t="s">
        <v>179</v>
      </c>
      <c r="F74" s="43" t="s">
        <v>194</v>
      </c>
      <c r="G74" s="31" t="s">
        <v>251</v>
      </c>
      <c r="H74" s="115"/>
      <c r="I74" s="53">
        <f t="shared" ref="I74:I78" si="7">J74+K74</f>
        <v>500000</v>
      </c>
      <c r="J74" s="46">
        <f>200000+300000</f>
        <v>500000</v>
      </c>
      <c r="K74" s="73"/>
      <c r="L74" s="54"/>
    </row>
    <row r="75" spans="1:13" ht="60" customHeight="1" x14ac:dyDescent="0.2">
      <c r="A75">
        <v>2</v>
      </c>
      <c r="B75" s="41">
        <v>3719800</v>
      </c>
      <c r="C75" s="41">
        <v>9800</v>
      </c>
      <c r="D75" s="42" t="s">
        <v>17</v>
      </c>
      <c r="E75" s="35" t="s">
        <v>179</v>
      </c>
      <c r="F75" s="35" t="s">
        <v>180</v>
      </c>
      <c r="G75" s="31" t="s">
        <v>197</v>
      </c>
      <c r="H75" s="116"/>
      <c r="I75" s="76">
        <f t="shared" si="7"/>
        <v>500000</v>
      </c>
      <c r="J75" s="48">
        <v>100000</v>
      </c>
      <c r="K75" s="73">
        <v>400000</v>
      </c>
      <c r="L75" s="54">
        <v>400000</v>
      </c>
      <c r="M75" s="95"/>
    </row>
    <row r="76" spans="1:13" ht="48.75" customHeight="1" x14ac:dyDescent="0.2">
      <c r="A76">
        <v>3</v>
      </c>
      <c r="B76" s="41">
        <v>3719800</v>
      </c>
      <c r="C76" s="41">
        <v>9800</v>
      </c>
      <c r="D76" s="42" t="s">
        <v>17</v>
      </c>
      <c r="E76" s="35" t="s">
        <v>179</v>
      </c>
      <c r="F76" s="44" t="s">
        <v>181</v>
      </c>
      <c r="G76" s="31" t="s">
        <v>252</v>
      </c>
      <c r="H76" s="51"/>
      <c r="I76" s="55">
        <f t="shared" si="7"/>
        <v>6710000</v>
      </c>
      <c r="J76" s="46">
        <f>700000+1450000+1013000+860000</f>
        <v>4023000</v>
      </c>
      <c r="K76" s="73">
        <f>3680000-1450000+457000</f>
        <v>2687000</v>
      </c>
      <c r="L76" s="54">
        <f>3680000-1450000+457000</f>
        <v>2687000</v>
      </c>
    </row>
    <row r="77" spans="1:13" ht="38.25" customHeight="1" x14ac:dyDescent="0.2">
      <c r="A77">
        <v>4</v>
      </c>
      <c r="B77" s="41">
        <v>3719800</v>
      </c>
      <c r="C77" s="41">
        <v>9800</v>
      </c>
      <c r="D77" s="42" t="s">
        <v>17</v>
      </c>
      <c r="E77" s="35" t="s">
        <v>179</v>
      </c>
      <c r="F77" s="44" t="s">
        <v>182</v>
      </c>
      <c r="G77" s="31" t="s">
        <v>253</v>
      </c>
      <c r="H77" s="51"/>
      <c r="I77" s="55">
        <f t="shared" si="7"/>
        <v>1100411</v>
      </c>
      <c r="J77" s="46">
        <f>28278+1000000</f>
        <v>1028278</v>
      </c>
      <c r="K77" s="73">
        <v>72133</v>
      </c>
      <c r="L77" s="54">
        <v>72133</v>
      </c>
      <c r="M77" s="95"/>
    </row>
    <row r="78" spans="1:13" ht="38.25" customHeight="1" x14ac:dyDescent="0.2">
      <c r="B78" s="41">
        <v>3719800</v>
      </c>
      <c r="C78" s="41">
        <v>9800</v>
      </c>
      <c r="D78" s="42" t="s">
        <v>17</v>
      </c>
      <c r="E78" s="35" t="s">
        <v>179</v>
      </c>
      <c r="F78" s="44" t="s">
        <v>240</v>
      </c>
      <c r="G78" s="31" t="s">
        <v>244</v>
      </c>
      <c r="H78" s="51"/>
      <c r="I78" s="55">
        <f t="shared" si="7"/>
        <v>1160710</v>
      </c>
      <c r="J78" s="46"/>
      <c r="K78" s="73">
        <v>1160710</v>
      </c>
      <c r="L78" s="54">
        <f>K78</f>
        <v>1160710</v>
      </c>
      <c r="M78" s="95"/>
    </row>
    <row r="79" spans="1:13" ht="51.75" customHeight="1" x14ac:dyDescent="0.2">
      <c r="B79" s="41">
        <v>3719800</v>
      </c>
      <c r="C79" s="41">
        <v>9800</v>
      </c>
      <c r="D79" s="42" t="s">
        <v>17</v>
      </c>
      <c r="E79" s="35" t="s">
        <v>179</v>
      </c>
      <c r="F79" s="119" t="s">
        <v>241</v>
      </c>
      <c r="G79" s="31" t="s">
        <v>245</v>
      </c>
      <c r="H79" s="51"/>
      <c r="I79" s="55">
        <f>J79</f>
        <v>100000</v>
      </c>
      <c r="J79" s="46">
        <v>100000</v>
      </c>
      <c r="K79" s="73"/>
      <c r="L79" s="54"/>
      <c r="M79" s="95"/>
    </row>
    <row r="80" spans="1:13" ht="50.25" customHeight="1" x14ac:dyDescent="0.2">
      <c r="A80">
        <v>5</v>
      </c>
      <c r="B80" s="41">
        <v>3719800</v>
      </c>
      <c r="C80" s="41">
        <v>9800</v>
      </c>
      <c r="D80" s="42" t="s">
        <v>17</v>
      </c>
      <c r="E80" s="35" t="s">
        <v>179</v>
      </c>
      <c r="F80" s="118" t="s">
        <v>184</v>
      </c>
      <c r="G80" s="31" t="s">
        <v>198</v>
      </c>
      <c r="H80" s="51"/>
      <c r="I80" s="55">
        <f t="shared" ref="I80:I81" si="8">J80+K80</f>
        <v>150000</v>
      </c>
      <c r="J80" s="46"/>
      <c r="K80" s="73">
        <v>150000</v>
      </c>
      <c r="L80" s="54">
        <v>150000</v>
      </c>
    </row>
    <row r="81" spans="1:13" ht="42.75" customHeight="1" x14ac:dyDescent="0.2">
      <c r="A81">
        <v>6</v>
      </c>
      <c r="B81" s="41">
        <v>3719800</v>
      </c>
      <c r="C81" s="41">
        <v>9800</v>
      </c>
      <c r="D81" s="42" t="s">
        <v>17</v>
      </c>
      <c r="E81" s="80" t="s">
        <v>179</v>
      </c>
      <c r="F81" s="78" t="s">
        <v>183</v>
      </c>
      <c r="G81" s="121" t="s">
        <v>205</v>
      </c>
      <c r="H81" s="117"/>
      <c r="I81" s="81">
        <f t="shared" si="8"/>
        <v>1000000</v>
      </c>
      <c r="J81" s="82">
        <v>1000000</v>
      </c>
      <c r="K81" s="83"/>
      <c r="L81" s="70"/>
      <c r="M81" s="95"/>
    </row>
    <row r="82" spans="1:13" ht="48.75" customHeight="1" x14ac:dyDescent="0.2">
      <c r="A82">
        <v>7</v>
      </c>
      <c r="B82" s="41">
        <v>3719800</v>
      </c>
      <c r="C82" s="41">
        <v>9800</v>
      </c>
      <c r="D82" s="79" t="s">
        <v>17</v>
      </c>
      <c r="E82" s="88" t="s">
        <v>179</v>
      </c>
      <c r="F82" s="89" t="s">
        <v>216</v>
      </c>
      <c r="G82" s="61" t="s">
        <v>227</v>
      </c>
      <c r="H82" s="61"/>
      <c r="I82" s="53">
        <f>J82+K82</f>
        <v>50000</v>
      </c>
      <c r="J82" s="46">
        <v>50000</v>
      </c>
      <c r="K82" s="53"/>
      <c r="L82" s="53"/>
    </row>
    <row r="83" spans="1:13" ht="39" customHeight="1" x14ac:dyDescent="0.2">
      <c r="A83">
        <v>8</v>
      </c>
      <c r="B83" s="41">
        <v>3719800</v>
      </c>
      <c r="C83" s="41">
        <v>9800</v>
      </c>
      <c r="D83" s="79" t="s">
        <v>17</v>
      </c>
      <c r="E83" s="88" t="s">
        <v>179</v>
      </c>
      <c r="F83" s="89" t="s">
        <v>225</v>
      </c>
      <c r="G83" s="61" t="s">
        <v>228</v>
      </c>
      <c r="H83" s="61"/>
      <c r="I83" s="53">
        <f>J83+K83</f>
        <v>50000</v>
      </c>
      <c r="J83" s="46">
        <v>50000</v>
      </c>
      <c r="K83" s="53"/>
      <c r="L83" s="53"/>
      <c r="M83" s="95"/>
    </row>
    <row r="84" spans="1:13" ht="39.75" customHeight="1" x14ac:dyDescent="0.2">
      <c r="A84">
        <v>9</v>
      </c>
      <c r="B84" s="41">
        <v>3719800</v>
      </c>
      <c r="C84" s="41">
        <v>9800</v>
      </c>
      <c r="D84" s="79" t="s">
        <v>17</v>
      </c>
      <c r="E84" s="88" t="s">
        <v>179</v>
      </c>
      <c r="F84" s="89" t="s">
        <v>217</v>
      </c>
      <c r="G84" s="61" t="s">
        <v>226</v>
      </c>
      <c r="H84" s="61"/>
      <c r="I84" s="53">
        <f>J84+K84</f>
        <v>1000000</v>
      </c>
      <c r="J84" s="46">
        <f>200000-44000</f>
        <v>156000</v>
      </c>
      <c r="K84" s="53">
        <f>L84</f>
        <v>844000</v>
      </c>
      <c r="L84" s="53">
        <f>800000+44000</f>
        <v>844000</v>
      </c>
    </row>
    <row r="85" spans="1:13" ht="21" customHeight="1" x14ac:dyDescent="0.2">
      <c r="B85" s="6" t="s">
        <v>154</v>
      </c>
      <c r="C85" s="5" t="s">
        <v>154</v>
      </c>
      <c r="D85" s="7" t="s">
        <v>154</v>
      </c>
      <c r="E85" s="84" t="s">
        <v>9</v>
      </c>
      <c r="F85" s="85"/>
      <c r="G85" s="122"/>
      <c r="H85" s="86"/>
      <c r="I85" s="87">
        <f>I21+I55+I65+I73</f>
        <v>144883074.03999999</v>
      </c>
      <c r="J85" s="87">
        <f>J21+J55+J65+J73</f>
        <v>82055146.289999992</v>
      </c>
      <c r="K85" s="87">
        <f>K21+K55+K65+K73</f>
        <v>62827927.75</v>
      </c>
      <c r="L85" s="87">
        <f>L21+L55+L65+L73</f>
        <v>61696006.699999996</v>
      </c>
      <c r="M85" s="18"/>
    </row>
    <row r="86" spans="1:13" ht="12.75" customHeight="1" x14ac:dyDescent="0.25">
      <c r="B86" s="1"/>
      <c r="C86" s="1"/>
      <c r="D86" s="1"/>
      <c r="E86" s="1"/>
      <c r="F86" s="1"/>
      <c r="G86" s="1"/>
      <c r="H86" s="1"/>
      <c r="I86" s="1"/>
      <c r="J86" s="1"/>
      <c r="K86" s="21"/>
      <c r="L86" s="1"/>
    </row>
    <row r="87" spans="1:13" ht="18.75" customHeight="1" x14ac:dyDescent="0.3">
      <c r="B87" s="17" t="s">
        <v>157</v>
      </c>
      <c r="C87" s="17"/>
      <c r="D87" s="20"/>
      <c r="E87" s="20"/>
      <c r="F87" s="1"/>
      <c r="G87" s="1"/>
      <c r="H87" s="1"/>
      <c r="I87" s="17" t="s">
        <v>158</v>
      </c>
      <c r="J87" s="1"/>
      <c r="K87" s="21"/>
      <c r="L87" s="1"/>
    </row>
    <row r="88" spans="1:13" ht="12.75" customHeight="1" x14ac:dyDescent="0.3">
      <c r="B88" s="17"/>
      <c r="C88" s="17"/>
      <c r="D88" s="17"/>
    </row>
    <row r="89" spans="1:13" ht="12.75" customHeight="1" x14ac:dyDescent="0.2">
      <c r="J89" s="18"/>
      <c r="K89" s="18"/>
    </row>
    <row r="90" spans="1:13" ht="12.75" customHeight="1" x14ac:dyDescent="0.2"/>
    <row r="91" spans="1:13" ht="12.75" customHeight="1" x14ac:dyDescent="0.2">
      <c r="I91" s="18"/>
      <c r="J91" s="18"/>
      <c r="K91" s="18"/>
      <c r="L91" s="18"/>
    </row>
    <row r="92" spans="1:13" ht="12.75" customHeight="1" x14ac:dyDescent="0.2"/>
    <row r="93" spans="1:13" ht="12.75" customHeight="1" x14ac:dyDescent="0.2"/>
    <row r="94" spans="1:13" ht="12.75" customHeight="1" x14ac:dyDescent="0.2"/>
    <row r="95" spans="1:13" ht="12.75" customHeight="1" x14ac:dyDescent="0.2"/>
    <row r="96" spans="1:13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</sheetData>
  <mergeCells count="25">
    <mergeCell ref="F60:F63"/>
    <mergeCell ref="F66:F72"/>
    <mergeCell ref="F58:F59"/>
    <mergeCell ref="F56:F57"/>
    <mergeCell ref="F23:F24"/>
    <mergeCell ref="F26:F28"/>
    <mergeCell ref="B12:L12"/>
    <mergeCell ref="B13:L13"/>
    <mergeCell ref="B16:B19"/>
    <mergeCell ref="C16:C19"/>
    <mergeCell ref="D16:D19"/>
    <mergeCell ref="E16:E19"/>
    <mergeCell ref="J16:J19"/>
    <mergeCell ref="K16:L16"/>
    <mergeCell ref="K17:K19"/>
    <mergeCell ref="L17:L19"/>
    <mergeCell ref="I16:I19"/>
    <mergeCell ref="F16:F19"/>
    <mergeCell ref="G16:G19"/>
    <mergeCell ref="G66:G72"/>
    <mergeCell ref="G23:G24"/>
    <mergeCell ref="G26:G28"/>
    <mergeCell ref="G60:G63"/>
    <mergeCell ref="G58:G59"/>
    <mergeCell ref="G56:G57"/>
  </mergeCells>
  <phoneticPr fontId="11" type="noConversion"/>
  <conditionalFormatting sqref="J23:J29 J74:J84">
    <cfRule type="expression" dxfId="11" priority="12" stopIfTrue="1">
      <formula>E23=1</formula>
    </cfRule>
  </conditionalFormatting>
  <conditionalFormatting sqref="J56:J59">
    <cfRule type="expression" dxfId="10" priority="11" stopIfTrue="1">
      <formula>E56=1</formula>
    </cfRule>
  </conditionalFormatting>
  <conditionalFormatting sqref="J60:J64">
    <cfRule type="expression" dxfId="9" priority="10" stopIfTrue="1">
      <formula>E60=1</formula>
    </cfRule>
  </conditionalFormatting>
  <conditionalFormatting sqref="J68:J70">
    <cfRule type="expression" dxfId="8" priority="9" stopIfTrue="1">
      <formula>E68=1</formula>
    </cfRule>
  </conditionalFormatting>
  <conditionalFormatting sqref="J71:J72">
    <cfRule type="expression" dxfId="7" priority="8" stopIfTrue="1">
      <formula>E71=1</formula>
    </cfRule>
  </conditionalFormatting>
  <conditionalFormatting sqref="J33:J34">
    <cfRule type="expression" dxfId="6" priority="6" stopIfTrue="1">
      <formula>E33=1</formula>
    </cfRule>
  </conditionalFormatting>
  <conditionalFormatting sqref="K33">
    <cfRule type="expression" dxfId="5" priority="7" stopIfTrue="1">
      <formula>E33=1</formula>
    </cfRule>
  </conditionalFormatting>
  <conditionalFormatting sqref="K42:K45">
    <cfRule type="expression" dxfId="4" priority="4" stopIfTrue="1">
      <formula>E42=1</formula>
    </cfRule>
  </conditionalFormatting>
  <conditionalFormatting sqref="L42:L45">
    <cfRule type="expression" dxfId="3" priority="5" stopIfTrue="1">
      <formula>E42=1</formula>
    </cfRule>
  </conditionalFormatting>
  <conditionalFormatting sqref="J46:J47">
    <cfRule type="expression" dxfId="2" priority="3" stopIfTrue="1">
      <formula>E46=1</formula>
    </cfRule>
  </conditionalFormatting>
  <conditionalFormatting sqref="J32">
    <cfRule type="expression" dxfId="1" priority="1" stopIfTrue="1">
      <formula>E32=1</formula>
    </cfRule>
  </conditionalFormatting>
  <conditionalFormatting sqref="K32">
    <cfRule type="expression" dxfId="0" priority="2" stopIfTrue="1">
      <formula>E32=1</formula>
    </cfRule>
  </conditionalFormatting>
  <pageMargins left="0.19685039370078741" right="0.19685039370078741" top="0.39370078740157483" bottom="0.19685039370078741" header="0" footer="0"/>
  <pageSetup paperSize="9" scale="55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2023-11-29T13:16:15Z</cp:lastPrinted>
  <dcterms:created xsi:type="dcterms:W3CDTF">2021-11-23T14:22:55Z</dcterms:created>
  <dcterms:modified xsi:type="dcterms:W3CDTF">2023-11-29T13:16:19Z</dcterms:modified>
</cp:coreProperties>
</file>